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D5B3F80-4174-4E4E-9864-83A181EC44E9}" xr6:coauthVersionLast="47" xr6:coauthVersionMax="47" xr10:uidLastSave="{00000000-0000-0000-0000-000000000000}"/>
  <bookViews>
    <workbookView minimized="1" xWindow="4120" yWindow="4120" windowWidth="14400" windowHeight="7270" firstSheet="2" activeTab="5" xr2:uid="{4AA1CF89-DB35-A243-BD9A-70EA7A8993CB}"/>
  </bookViews>
  <sheets>
    <sheet name="Kalkulator" sheetId="2" r:id="rId1"/>
    <sheet name="Prodi &amp; Jurusan" sheetId="6" r:id="rId2"/>
    <sheet name="Administrasi" sheetId="1" r:id="rId3"/>
    <sheet name="Pustakawan" sheetId="3" r:id="rId4"/>
    <sheet name="Plp" sheetId="5" r:id="rId5"/>
    <sheet name="Dosen" sheetId="8" r:id="rId6"/>
    <sheet name="RANGKUMAN" sheetId="9" r:id="rId7"/>
    <sheet name="Honorer" sheetId="10" r:id="rId8"/>
    <sheet name="BUP" sheetId="11" r:id="rId9"/>
  </sheets>
  <definedNames>
    <definedName name="_xlnm._FilterDatabase" localSheetId="5" hidden="1">Dosen!$V$1:$V$246</definedName>
    <definedName name="_xlnm.Print_Area" localSheetId="7">Honorer!$A$1:$C$117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1" l="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11" i="11"/>
  <c r="E16" i="6"/>
  <c r="E11" i="6"/>
  <c r="B74" i="11" l="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A30" i="8" l="1"/>
  <c r="A48" i="8" s="1"/>
  <c r="D75" i="9" l="1"/>
  <c r="D74" i="9"/>
  <c r="I75" i="9"/>
  <c r="I74" i="9"/>
  <c r="H75" i="9"/>
  <c r="H74" i="9"/>
  <c r="G75" i="9"/>
  <c r="G74" i="9"/>
  <c r="F75" i="9"/>
  <c r="F74" i="9"/>
  <c r="E74" i="9"/>
  <c r="E75" i="9"/>
  <c r="C74" i="9"/>
  <c r="C75" i="9"/>
  <c r="F76" i="9" l="1"/>
  <c r="H76" i="9"/>
  <c r="J75" i="9"/>
  <c r="D76" i="9"/>
  <c r="E76" i="9"/>
  <c r="J74" i="9"/>
  <c r="G76" i="9"/>
  <c r="I76" i="9"/>
  <c r="C76" i="9"/>
  <c r="E22" i="6"/>
  <c r="E21" i="6"/>
  <c r="E20" i="6"/>
  <c r="E19" i="6"/>
  <c r="F18" i="6"/>
  <c r="E18" i="6"/>
  <c r="E15" i="6"/>
  <c r="E14" i="6"/>
  <c r="F11" i="6"/>
  <c r="E13" i="6"/>
  <c r="E12" i="6"/>
  <c r="E9" i="6"/>
  <c r="E8" i="6"/>
  <c r="E7" i="6"/>
  <c r="E6" i="6"/>
  <c r="E5" i="6"/>
  <c r="F4" i="6"/>
  <c r="E4" i="6"/>
  <c r="J76" i="9" l="1"/>
  <c r="B242" i="11"/>
  <c r="B219" i="11"/>
  <c r="D219" i="11" s="1"/>
  <c r="B236" i="11"/>
  <c r="B203" i="11"/>
  <c r="D203" i="11" s="1"/>
  <c r="B206" i="11"/>
  <c r="B235" i="11"/>
  <c r="C235" i="11" s="1"/>
  <c r="G235" i="11" s="1"/>
  <c r="B222" i="11"/>
  <c r="C222" i="11" s="1"/>
  <c r="G222" i="11" s="1"/>
  <c r="B223" i="11"/>
  <c r="E223" i="11" s="1"/>
  <c r="B201" i="11"/>
  <c r="F201" i="11" s="1"/>
  <c r="B228" i="11"/>
  <c r="B205" i="11"/>
  <c r="B211" i="11"/>
  <c r="E211" i="11" s="1"/>
  <c r="B221" i="11"/>
  <c r="B176" i="11"/>
  <c r="B192" i="11"/>
  <c r="B199" i="11"/>
  <c r="F199" i="11" s="1"/>
  <c r="B209" i="11"/>
  <c r="C209" i="11" s="1"/>
  <c r="G209" i="11" s="1"/>
  <c r="B216" i="11"/>
  <c r="B217" i="11"/>
  <c r="E217" i="11" s="1"/>
  <c r="B210" i="11"/>
  <c r="E210" i="11" s="1"/>
  <c r="B225" i="11"/>
  <c r="F225" i="11" s="1"/>
  <c r="B226" i="11"/>
  <c r="B218" i="11"/>
  <c r="E218" i="11" s="1"/>
  <c r="B227" i="11"/>
  <c r="F227" i="11" s="1"/>
  <c r="B234" i="11"/>
  <c r="C234" i="11" s="1"/>
  <c r="G234" i="11" s="1"/>
  <c r="B149" i="11"/>
  <c r="F149" i="11" s="1"/>
  <c r="B164" i="11"/>
  <c r="C164" i="11" s="1"/>
  <c r="G164" i="11" s="1"/>
  <c r="B160" i="11"/>
  <c r="F160" i="11" s="1"/>
  <c r="B187" i="11"/>
  <c r="C187" i="11" s="1"/>
  <c r="G187" i="11" s="1"/>
  <c r="B204" i="11"/>
  <c r="B233" i="11"/>
  <c r="C233" i="11" s="1"/>
  <c r="G233" i="11" s="1"/>
  <c r="B241" i="11"/>
  <c r="E241" i="11" s="1"/>
  <c r="B140" i="11"/>
  <c r="B194" i="11"/>
  <c r="B215" i="11"/>
  <c r="E215" i="11" s="1"/>
  <c r="B175" i="11"/>
  <c r="E175" i="11" s="1"/>
  <c r="B191" i="11"/>
  <c r="C191" i="11" s="1"/>
  <c r="G191" i="11" s="1"/>
  <c r="B159" i="11"/>
  <c r="C159" i="11" s="1"/>
  <c r="G159" i="11" s="1"/>
  <c r="B196" i="11"/>
  <c r="C196" i="11" s="1"/>
  <c r="G196" i="11" s="1"/>
  <c r="B188" i="11"/>
  <c r="E188" i="11" s="1"/>
  <c r="B169" i="11"/>
  <c r="F169" i="11" s="1"/>
  <c r="B158" i="11"/>
  <c r="B189" i="11"/>
  <c r="C189" i="11" s="1"/>
  <c r="G189" i="11" s="1"/>
  <c r="B163" i="11"/>
  <c r="F163" i="11" s="1"/>
  <c r="B183" i="11"/>
  <c r="B190" i="11"/>
  <c r="B200" i="11"/>
  <c r="C200" i="11" s="1"/>
  <c r="G200" i="11" s="1"/>
  <c r="B232" i="11"/>
  <c r="E232" i="11" s="1"/>
  <c r="B220" i="11"/>
  <c r="F220" i="11" s="1"/>
  <c r="B240" i="11"/>
  <c r="B224" i="11"/>
  <c r="E224" i="11" s="1"/>
  <c r="B137" i="11"/>
  <c r="F137" i="11" s="1"/>
  <c r="B174" i="11"/>
  <c r="B147" i="11"/>
  <c r="B171" i="11"/>
  <c r="D171" i="11" s="1"/>
  <c r="B193" i="11"/>
  <c r="D193" i="11" s="1"/>
  <c r="B245" i="11"/>
  <c r="B168" i="11"/>
  <c r="F168" i="11" s="1"/>
  <c r="B231" i="11"/>
  <c r="D231" i="11" s="1"/>
  <c r="B198" i="11"/>
  <c r="D198" i="11" s="1"/>
  <c r="B186" i="11"/>
  <c r="B239" i="11"/>
  <c r="B150" i="11"/>
  <c r="D150" i="11" s="1"/>
  <c r="B173" i="11"/>
  <c r="E173" i="11" s="1"/>
  <c r="B184" i="11"/>
  <c r="B182" i="11"/>
  <c r="B162" i="11"/>
  <c r="D162" i="11" s="1"/>
  <c r="B157" i="11"/>
  <c r="D157" i="11" s="1"/>
  <c r="B185" i="11"/>
  <c r="B202" i="11"/>
  <c r="B151" i="11"/>
  <c r="C151" i="11" s="1"/>
  <c r="G151" i="11" s="1"/>
  <c r="B172" i="11"/>
  <c r="C172" i="11" s="1"/>
  <c r="G172" i="11" s="1"/>
  <c r="B180" i="11"/>
  <c r="B167" i="11"/>
  <c r="B208" i="11"/>
  <c r="B181" i="11"/>
  <c r="D181" i="11" s="1"/>
  <c r="B238" i="11"/>
  <c r="B197" i="11"/>
  <c r="C197" i="11" s="1"/>
  <c r="G197" i="11" s="1"/>
  <c r="B148" i="11"/>
  <c r="B135" i="11"/>
  <c r="E135" i="11" s="1"/>
  <c r="B178" i="11"/>
  <c r="B132" i="11"/>
  <c r="B179" i="11"/>
  <c r="D179" i="11" s="1"/>
  <c r="B166" i="11"/>
  <c r="D166" i="11" s="1"/>
  <c r="B214" i="11"/>
  <c r="B207" i="11"/>
  <c r="B230" i="11"/>
  <c r="D230" i="11" s="1"/>
  <c r="B131" i="11"/>
  <c r="D131" i="11" s="1"/>
  <c r="B195" i="11"/>
  <c r="D195" i="11" s="1"/>
  <c r="B243" i="11"/>
  <c r="F243" i="11" s="1"/>
  <c r="B244" i="11"/>
  <c r="B177" i="11"/>
  <c r="C177" i="11" s="1"/>
  <c r="G177" i="11" s="1"/>
  <c r="B154" i="11"/>
  <c r="D154" i="11" s="1"/>
  <c r="B155" i="11"/>
  <c r="B156" i="11"/>
  <c r="B146" i="11"/>
  <c r="F146" i="11" s="1"/>
  <c r="B139" i="11"/>
  <c r="C139" i="11" s="1"/>
  <c r="G139" i="11" s="1"/>
  <c r="B213" i="11"/>
  <c r="E213" i="11" s="1"/>
  <c r="B142" i="11"/>
  <c r="B141" i="11"/>
  <c r="F141" i="11" s="1"/>
  <c r="B143" i="11"/>
  <c r="D143" i="11" s="1"/>
  <c r="B136" i="11"/>
  <c r="D136" i="11" s="1"/>
  <c r="B138" i="11"/>
  <c r="F138" i="11" s="1"/>
  <c r="B145" i="11"/>
  <c r="F145" i="11" s="1"/>
  <c r="B152" i="11"/>
  <c r="F152" i="11" s="1"/>
  <c r="B161" i="11"/>
  <c r="E161" i="11" s="1"/>
  <c r="B130" i="11"/>
  <c r="D130" i="11" s="1"/>
  <c r="B170" i="11"/>
  <c r="F170" i="11" s="1"/>
  <c r="B153" i="11"/>
  <c r="F153" i="11" s="1"/>
  <c r="B134" i="11"/>
  <c r="C134" i="11" s="1"/>
  <c r="G134" i="11" s="1"/>
  <c r="B144" i="11"/>
  <c r="F144" i="11" s="1"/>
  <c r="B165" i="11"/>
  <c r="F165" i="11" s="1"/>
  <c r="B229" i="11"/>
  <c r="F229" i="11" s="1"/>
  <c r="B212" i="11"/>
  <c r="F212" i="11" s="1"/>
  <c r="B237" i="11"/>
  <c r="F237" i="11" s="1"/>
  <c r="B133" i="11"/>
  <c r="B118" i="11"/>
  <c r="D118" i="11" s="1"/>
  <c r="B121" i="11"/>
  <c r="C121" i="11" s="1"/>
  <c r="G121" i="11" s="1"/>
  <c r="B117" i="11"/>
  <c r="D117" i="11" s="1"/>
  <c r="B122" i="11"/>
  <c r="E122" i="11" s="1"/>
  <c r="B105" i="11"/>
  <c r="B112" i="11"/>
  <c r="D112" i="11" s="1"/>
  <c r="B106" i="11"/>
  <c r="E106" i="11" s="1"/>
  <c r="B99" i="11"/>
  <c r="C99" i="11" s="1"/>
  <c r="G99" i="11" s="1"/>
  <c r="B94" i="11"/>
  <c r="E94" i="11" s="1"/>
  <c r="B95" i="11"/>
  <c r="C95" i="11" s="1"/>
  <c r="G95" i="11" s="1"/>
  <c r="B116" i="11"/>
  <c r="F116" i="11" s="1"/>
  <c r="B100" i="11"/>
  <c r="C100" i="11" s="1"/>
  <c r="G100" i="11" s="1"/>
  <c r="B104" i="11"/>
  <c r="B111" i="11"/>
  <c r="E111" i="11" s="1"/>
  <c r="B103" i="11"/>
  <c r="F103" i="11" s="1"/>
  <c r="B113" i="11"/>
  <c r="D113" i="11" s="1"/>
  <c r="B120" i="11"/>
  <c r="B119" i="11"/>
  <c r="E119" i="11" s="1"/>
  <c r="B110" i="11"/>
  <c r="D110" i="11" s="1"/>
  <c r="B108" i="11"/>
  <c r="C108" i="11" s="1"/>
  <c r="G108" i="11" s="1"/>
  <c r="B109" i="11"/>
  <c r="B107" i="11"/>
  <c r="E107" i="11" s="1"/>
  <c r="B91" i="11"/>
  <c r="E91" i="11" s="1"/>
  <c r="C83" i="11"/>
  <c r="G83" i="11" s="1"/>
  <c r="D79" i="11"/>
  <c r="D80" i="11"/>
  <c r="B92" i="11"/>
  <c r="E92" i="11" s="1"/>
  <c r="B101" i="11"/>
  <c r="D101" i="11" s="1"/>
  <c r="D86" i="11"/>
  <c r="B93" i="11"/>
  <c r="E93" i="11" s="1"/>
  <c r="C85" i="11"/>
  <c r="G85" i="11" s="1"/>
  <c r="B96" i="11"/>
  <c r="B115" i="11"/>
  <c r="D115" i="11" s="1"/>
  <c r="D75" i="11"/>
  <c r="D88" i="11"/>
  <c r="D82" i="11"/>
  <c r="B98" i="11"/>
  <c r="E98" i="11" s="1"/>
  <c r="C89" i="11"/>
  <c r="G89" i="11" s="1"/>
  <c r="B97" i="11"/>
  <c r="D90" i="11"/>
  <c r="E78" i="11"/>
  <c r="B102" i="11"/>
  <c r="C102" i="11" s="1"/>
  <c r="G102" i="11" s="1"/>
  <c r="B114" i="11"/>
  <c r="D114" i="11" s="1"/>
  <c r="E81" i="11"/>
  <c r="D77" i="11"/>
  <c r="F76" i="11"/>
  <c r="B65" i="11"/>
  <c r="C65" i="11" s="1"/>
  <c r="B66" i="11"/>
  <c r="F66" i="11" s="1"/>
  <c r="B64" i="11"/>
  <c r="D64" i="11" s="1"/>
  <c r="C28" i="11"/>
  <c r="G28" i="11" s="1"/>
  <c r="C11" i="11"/>
  <c r="G11" i="11" s="1"/>
  <c r="E17" i="11"/>
  <c r="C34" i="11"/>
  <c r="G34" i="11" s="1"/>
  <c r="C24" i="11"/>
  <c r="G24" i="11" s="1"/>
  <c r="F18" i="11"/>
  <c r="E29" i="11"/>
  <c r="D48" i="11"/>
  <c r="C44" i="11"/>
  <c r="G44" i="11" s="1"/>
  <c r="C38" i="11"/>
  <c r="G38" i="11" s="1"/>
  <c r="E30" i="11"/>
  <c r="D25" i="11"/>
  <c r="C36" i="11"/>
  <c r="G36" i="11" s="1"/>
  <c r="F12" i="11"/>
  <c r="E47" i="11"/>
  <c r="D19" i="11"/>
  <c r="C31" i="11"/>
  <c r="G31" i="11" s="1"/>
  <c r="F39" i="11"/>
  <c r="E42" i="11"/>
  <c r="D13" i="11"/>
  <c r="C37" i="11"/>
  <c r="G37" i="11" s="1"/>
  <c r="F26" i="11"/>
  <c r="E20" i="11"/>
  <c r="D50" i="11"/>
  <c r="C14" i="11"/>
  <c r="G14" i="11" s="1"/>
  <c r="C32" i="11"/>
  <c r="G32" i="11" s="1"/>
  <c r="E27" i="11"/>
  <c r="D21" i="11"/>
  <c r="C15" i="11"/>
  <c r="G15" i="11" s="1"/>
  <c r="F22" i="11"/>
  <c r="E23" i="11"/>
  <c r="D43" i="11"/>
  <c r="C45" i="11"/>
  <c r="G45" i="11" s="1"/>
  <c r="F46" i="11"/>
  <c r="E51" i="11"/>
  <c r="D35" i="11"/>
  <c r="C49" i="11"/>
  <c r="G49" i="11" s="1"/>
  <c r="F52" i="11"/>
  <c r="E53" i="11"/>
  <c r="D40" i="11"/>
  <c r="C41" i="11"/>
  <c r="G41" i="11" s="1"/>
  <c r="C55" i="11"/>
  <c r="G55" i="11" s="1"/>
  <c r="E54" i="11"/>
  <c r="D56" i="11"/>
  <c r="C16" i="11"/>
  <c r="G16" i="11" s="1"/>
  <c r="F33" i="11"/>
  <c r="A5" i="11"/>
  <c r="F136" i="11" l="1"/>
  <c r="H136" i="11" s="1"/>
  <c r="C161" i="11"/>
  <c r="G161" i="11" s="1"/>
  <c r="E134" i="11"/>
  <c r="C232" i="11"/>
  <c r="G232" i="11" s="1"/>
  <c r="D232" i="11"/>
  <c r="C136" i="11"/>
  <c r="G136" i="11" s="1"/>
  <c r="I136" i="11" s="1"/>
  <c r="E136" i="11"/>
  <c r="C223" i="11"/>
  <c r="G223" i="11" s="1"/>
  <c r="C137" i="11"/>
  <c r="G137" i="11" s="1"/>
  <c r="C243" i="11"/>
  <c r="G243" i="11" s="1"/>
  <c r="D177" i="11"/>
  <c r="I177" i="11" s="1"/>
  <c r="F203" i="11"/>
  <c r="H203" i="11" s="1"/>
  <c r="D134" i="11"/>
  <c r="I134" i="11" s="1"/>
  <c r="F134" i="11"/>
  <c r="H134" i="11" s="1"/>
  <c r="C199" i="11"/>
  <c r="G199" i="11" s="1"/>
  <c r="C168" i="11"/>
  <c r="G168" i="11" s="1"/>
  <c r="D223" i="11"/>
  <c r="E203" i="11"/>
  <c r="F211" i="11"/>
  <c r="H211" i="11" s="1"/>
  <c r="D161" i="11"/>
  <c r="F161" i="11"/>
  <c r="H161" i="11" s="1"/>
  <c r="C160" i="11"/>
  <c r="G160" i="11" s="1"/>
  <c r="C157" i="11"/>
  <c r="G157" i="11" s="1"/>
  <c r="I157" i="11" s="1"/>
  <c r="D241" i="11"/>
  <c r="E198" i="11"/>
  <c r="F181" i="11"/>
  <c r="H181" i="11" s="1"/>
  <c r="E64" i="11"/>
  <c r="C144" i="11"/>
  <c r="G144" i="11" s="1"/>
  <c r="E130" i="11"/>
  <c r="E164" i="11"/>
  <c r="C218" i="11"/>
  <c r="G218" i="11" s="1"/>
  <c r="F64" i="11"/>
  <c r="H64" i="11" s="1"/>
  <c r="D144" i="11"/>
  <c r="F130" i="11"/>
  <c r="H130" i="11" s="1"/>
  <c r="C211" i="11"/>
  <c r="G211" i="11" s="1"/>
  <c r="C210" i="11"/>
  <c r="G210" i="11" s="1"/>
  <c r="C163" i="11"/>
  <c r="G163" i="11" s="1"/>
  <c r="C193" i="11"/>
  <c r="G193" i="11" s="1"/>
  <c r="I193" i="11" s="1"/>
  <c r="C173" i="11"/>
  <c r="G173" i="11" s="1"/>
  <c r="C166" i="11"/>
  <c r="G166" i="11" s="1"/>
  <c r="I166" i="11" s="1"/>
  <c r="D227" i="11"/>
  <c r="D160" i="11"/>
  <c r="D163" i="11"/>
  <c r="D172" i="11"/>
  <c r="I172" i="11" s="1"/>
  <c r="D146" i="11"/>
  <c r="E189" i="11"/>
  <c r="E157" i="11"/>
  <c r="E146" i="11"/>
  <c r="F223" i="11"/>
  <c r="H223" i="11" s="1"/>
  <c r="F166" i="11"/>
  <c r="H166" i="11" s="1"/>
  <c r="C130" i="11"/>
  <c r="G130" i="11" s="1"/>
  <c r="I130" i="11" s="1"/>
  <c r="E144" i="11"/>
  <c r="C175" i="11"/>
  <c r="G175" i="11" s="1"/>
  <c r="C135" i="11"/>
  <c r="G135" i="11" s="1"/>
  <c r="C146" i="11"/>
  <c r="G146" i="11" s="1"/>
  <c r="D210" i="11"/>
  <c r="D175" i="11"/>
  <c r="D188" i="11"/>
  <c r="E137" i="11"/>
  <c r="E181" i="11"/>
  <c r="F210" i="11"/>
  <c r="H210" i="11" s="1"/>
  <c r="C29" i="11"/>
  <c r="G29" i="11" s="1"/>
  <c r="C64" i="11"/>
  <c r="G64" i="11" s="1"/>
  <c r="I64" i="11" s="1"/>
  <c r="C203" i="11"/>
  <c r="G203" i="11" s="1"/>
  <c r="I203" i="11" s="1"/>
  <c r="C227" i="11"/>
  <c r="G227" i="11" s="1"/>
  <c r="C241" i="11"/>
  <c r="G241" i="11" s="1"/>
  <c r="C188" i="11"/>
  <c r="G188" i="11" s="1"/>
  <c r="C198" i="11"/>
  <c r="G198" i="11" s="1"/>
  <c r="I198" i="11" s="1"/>
  <c r="C181" i="11"/>
  <c r="G181" i="11" s="1"/>
  <c r="I181" i="11" s="1"/>
  <c r="C131" i="11"/>
  <c r="G131" i="11" s="1"/>
  <c r="I131" i="11" s="1"/>
  <c r="D211" i="11"/>
  <c r="D199" i="11"/>
  <c r="D196" i="11"/>
  <c r="I196" i="11" s="1"/>
  <c r="D137" i="11"/>
  <c r="E193" i="11"/>
  <c r="E166" i="11"/>
  <c r="F219" i="11"/>
  <c r="H219" i="11" s="1"/>
  <c r="F157" i="11"/>
  <c r="H157" i="11" s="1"/>
  <c r="C229" i="11"/>
  <c r="G229" i="11" s="1"/>
  <c r="F180" i="11"/>
  <c r="H180" i="11" s="1"/>
  <c r="C180" i="11"/>
  <c r="G180" i="11" s="1"/>
  <c r="D180" i="11"/>
  <c r="F186" i="11"/>
  <c r="H186" i="11" s="1"/>
  <c r="C186" i="11"/>
  <c r="G186" i="11" s="1"/>
  <c r="D186" i="11"/>
  <c r="C143" i="11"/>
  <c r="G143" i="11" s="1"/>
  <c r="I143" i="11" s="1"/>
  <c r="E143" i="11"/>
  <c r="C225" i="11"/>
  <c r="G225" i="11" s="1"/>
  <c r="C169" i="11"/>
  <c r="G169" i="11" s="1"/>
  <c r="C171" i="11"/>
  <c r="G171" i="11" s="1"/>
  <c r="I171" i="11" s="1"/>
  <c r="E219" i="11"/>
  <c r="E180" i="11"/>
  <c r="F178" i="11"/>
  <c r="H178" i="11" s="1"/>
  <c r="C178" i="11"/>
  <c r="G178" i="11" s="1"/>
  <c r="E178" i="11"/>
  <c r="D178" i="11"/>
  <c r="F185" i="11"/>
  <c r="H185" i="11" s="1"/>
  <c r="E185" i="11"/>
  <c r="C185" i="11"/>
  <c r="G185" i="11" s="1"/>
  <c r="D185" i="11"/>
  <c r="F245" i="11"/>
  <c r="C245" i="11"/>
  <c r="G245" i="11" s="1"/>
  <c r="D245" i="11"/>
  <c r="E245" i="11"/>
  <c r="D183" i="11"/>
  <c r="F183" i="11"/>
  <c r="H183" i="11" s="1"/>
  <c r="E183" i="11"/>
  <c r="F140" i="11"/>
  <c r="H140" i="11" s="1"/>
  <c r="C140" i="11"/>
  <c r="G140" i="11" s="1"/>
  <c r="D140" i="11"/>
  <c r="E140" i="11"/>
  <c r="E186" i="11"/>
  <c r="F133" i="11"/>
  <c r="H133" i="11" s="1"/>
  <c r="D133" i="11"/>
  <c r="F143" i="11"/>
  <c r="H143" i="11" s="1"/>
  <c r="C237" i="11"/>
  <c r="G237" i="11" s="1"/>
  <c r="C152" i="11"/>
  <c r="G152" i="11" s="1"/>
  <c r="D237" i="11"/>
  <c r="D152" i="11"/>
  <c r="E156" i="11"/>
  <c r="F156" i="11"/>
  <c r="H156" i="11" s="1"/>
  <c r="C156" i="11"/>
  <c r="G156" i="11" s="1"/>
  <c r="D156" i="11"/>
  <c r="F230" i="11"/>
  <c r="H230" i="11" s="1"/>
  <c r="E230" i="11"/>
  <c r="C230" i="11"/>
  <c r="G230" i="11" s="1"/>
  <c r="I230" i="11" s="1"/>
  <c r="F148" i="11"/>
  <c r="H148" i="11" s="1"/>
  <c r="C148" i="11"/>
  <c r="G148" i="11" s="1"/>
  <c r="F162" i="11"/>
  <c r="H162" i="11" s="1"/>
  <c r="E162" i="11"/>
  <c r="C162" i="11"/>
  <c r="G162" i="11" s="1"/>
  <c r="I162" i="11" s="1"/>
  <c r="F171" i="11"/>
  <c r="H171" i="11" s="1"/>
  <c r="E171" i="11"/>
  <c r="F200" i="11"/>
  <c r="H200" i="11" s="1"/>
  <c r="D200" i="11"/>
  <c r="I200" i="11" s="1"/>
  <c r="F189" i="11"/>
  <c r="H189" i="11" s="1"/>
  <c r="D189" i="11"/>
  <c r="I189" i="11" s="1"/>
  <c r="F215" i="11"/>
  <c r="H215" i="11" s="1"/>
  <c r="D215" i="11"/>
  <c r="F233" i="11"/>
  <c r="H233" i="11" s="1"/>
  <c r="D233" i="11"/>
  <c r="I233" i="11" s="1"/>
  <c r="F218" i="11"/>
  <c r="H218" i="11" s="1"/>
  <c r="D218" i="11"/>
  <c r="F217" i="11"/>
  <c r="H217" i="11" s="1"/>
  <c r="D217" i="11"/>
  <c r="F192" i="11"/>
  <c r="H192" i="11" s="1"/>
  <c r="D192" i="11"/>
  <c r="F205" i="11"/>
  <c r="H205" i="11" s="1"/>
  <c r="D205" i="11"/>
  <c r="F222" i="11"/>
  <c r="H222" i="11" s="1"/>
  <c r="D222" i="11"/>
  <c r="I222" i="11" s="1"/>
  <c r="F236" i="11"/>
  <c r="H236" i="11" s="1"/>
  <c r="E236" i="11"/>
  <c r="C236" i="11"/>
  <c r="G236" i="11" s="1"/>
  <c r="C205" i="11"/>
  <c r="G205" i="11" s="1"/>
  <c r="C192" i="11"/>
  <c r="G192" i="11" s="1"/>
  <c r="C154" i="11"/>
  <c r="G154" i="11" s="1"/>
  <c r="I154" i="11" s="1"/>
  <c r="D148" i="11"/>
  <c r="E205" i="11"/>
  <c r="E192" i="11"/>
  <c r="E154" i="11"/>
  <c r="D229" i="11"/>
  <c r="E229" i="11"/>
  <c r="D139" i="11"/>
  <c r="I139" i="11" s="1"/>
  <c r="F139" i="11"/>
  <c r="H139" i="11" s="1"/>
  <c r="E139" i="11"/>
  <c r="E195" i="11"/>
  <c r="F195" i="11"/>
  <c r="H195" i="11" s="1"/>
  <c r="C195" i="11"/>
  <c r="G195" i="11" s="1"/>
  <c r="I195" i="11" s="1"/>
  <c r="F214" i="11"/>
  <c r="H214" i="11" s="1"/>
  <c r="E214" i="11"/>
  <c r="C214" i="11"/>
  <c r="G214" i="11" s="1"/>
  <c r="D214" i="11"/>
  <c r="F238" i="11"/>
  <c r="H238" i="11" s="1"/>
  <c r="C238" i="11"/>
  <c r="G238" i="11" s="1"/>
  <c r="D238" i="11"/>
  <c r="E238" i="11"/>
  <c r="F184" i="11"/>
  <c r="H184" i="11" s="1"/>
  <c r="C184" i="11"/>
  <c r="G184" i="11" s="1"/>
  <c r="E184" i="11"/>
  <c r="D184" i="11"/>
  <c r="F174" i="11"/>
  <c r="C174" i="11"/>
  <c r="G174" i="11" s="1"/>
  <c r="D174" i="11"/>
  <c r="E174" i="11"/>
  <c r="D220" i="11"/>
  <c r="E220" i="11"/>
  <c r="D169" i="11"/>
  <c r="E169" i="11"/>
  <c r="D191" i="11"/>
  <c r="I191" i="11" s="1"/>
  <c r="E191" i="11"/>
  <c r="D187" i="11"/>
  <c r="I187" i="11" s="1"/>
  <c r="F187" i="11"/>
  <c r="H187" i="11" s="1"/>
  <c r="E187" i="11"/>
  <c r="D234" i="11"/>
  <c r="I234" i="11" s="1"/>
  <c r="F234" i="11"/>
  <c r="H234" i="11" s="1"/>
  <c r="E234" i="11"/>
  <c r="D225" i="11"/>
  <c r="E225" i="11"/>
  <c r="D209" i="11"/>
  <c r="I209" i="11" s="1"/>
  <c r="F209" i="11"/>
  <c r="H209" i="11" s="1"/>
  <c r="E209" i="11"/>
  <c r="F221" i="11"/>
  <c r="H221" i="11" s="1"/>
  <c r="C221" i="11"/>
  <c r="G221" i="11" s="1"/>
  <c r="D221" i="11"/>
  <c r="E221" i="11"/>
  <c r="D201" i="11"/>
  <c r="E201" i="11"/>
  <c r="F206" i="11"/>
  <c r="H206" i="11" s="1"/>
  <c r="C206" i="11"/>
  <c r="G206" i="11" s="1"/>
  <c r="D206" i="11"/>
  <c r="E206" i="11"/>
  <c r="F242" i="11"/>
  <c r="H242" i="11" s="1"/>
  <c r="C242" i="11"/>
  <c r="G242" i="11" s="1"/>
  <c r="D242" i="11"/>
  <c r="E242" i="11"/>
  <c r="E237" i="11"/>
  <c r="E152" i="11"/>
  <c r="F142" i="11"/>
  <c r="H142" i="11" s="1"/>
  <c r="E142" i="11"/>
  <c r="C142" i="11"/>
  <c r="G142" i="11" s="1"/>
  <c r="F244" i="11"/>
  <c r="H244" i="11" s="1"/>
  <c r="C244" i="11"/>
  <c r="G244" i="11" s="1"/>
  <c r="D244" i="11"/>
  <c r="E244" i="11"/>
  <c r="F179" i="11"/>
  <c r="H179" i="11" s="1"/>
  <c r="E179" i="11"/>
  <c r="C179" i="11"/>
  <c r="G179" i="11" s="1"/>
  <c r="I179" i="11" s="1"/>
  <c r="E208" i="11"/>
  <c r="F208" i="11"/>
  <c r="H208" i="11" s="1"/>
  <c r="C208" i="11"/>
  <c r="G208" i="11" s="1"/>
  <c r="F151" i="11"/>
  <c r="H151" i="11" s="1"/>
  <c r="E151" i="11"/>
  <c r="F150" i="11"/>
  <c r="H150" i="11" s="1"/>
  <c r="C150" i="11"/>
  <c r="G150" i="11" s="1"/>
  <c r="I150" i="11" s="1"/>
  <c r="E231" i="11"/>
  <c r="F231" i="11"/>
  <c r="H231" i="11" s="1"/>
  <c r="F224" i="11"/>
  <c r="H224" i="11" s="1"/>
  <c r="D224" i="11"/>
  <c r="F196" i="11"/>
  <c r="H196" i="11" s="1"/>
  <c r="E196" i="11"/>
  <c r="F164" i="11"/>
  <c r="H164" i="11" s="1"/>
  <c r="D164" i="11"/>
  <c r="I164" i="11" s="1"/>
  <c r="C224" i="11"/>
  <c r="G224" i="11" s="1"/>
  <c r="C183" i="11"/>
  <c r="G183" i="11" s="1"/>
  <c r="C212" i="11"/>
  <c r="G212" i="11" s="1"/>
  <c r="C153" i="11"/>
  <c r="G153" i="11" s="1"/>
  <c r="C138" i="11"/>
  <c r="G138" i="11" s="1"/>
  <c r="D212" i="11"/>
  <c r="D153" i="11"/>
  <c r="D138" i="11"/>
  <c r="E212" i="11"/>
  <c r="E153" i="11"/>
  <c r="E138" i="11"/>
  <c r="F213" i="11"/>
  <c r="H213" i="11" s="1"/>
  <c r="C213" i="11"/>
  <c r="G213" i="11" s="1"/>
  <c r="D213" i="11"/>
  <c r="F155" i="11"/>
  <c r="H155" i="11" s="1"/>
  <c r="E155" i="11"/>
  <c r="C155" i="11"/>
  <c r="G155" i="11" s="1"/>
  <c r="D155" i="11"/>
  <c r="D243" i="11"/>
  <c r="E243" i="11"/>
  <c r="E207" i="11"/>
  <c r="F207" i="11"/>
  <c r="H207" i="11" s="1"/>
  <c r="C207" i="11"/>
  <c r="G207" i="11" s="1"/>
  <c r="D207" i="11"/>
  <c r="E132" i="11"/>
  <c r="F132" i="11"/>
  <c r="H132" i="11" s="1"/>
  <c r="C132" i="11"/>
  <c r="G132" i="11" s="1"/>
  <c r="D132" i="11"/>
  <c r="D197" i="11"/>
  <c r="I197" i="11" s="1"/>
  <c r="F197" i="11"/>
  <c r="H197" i="11" s="1"/>
  <c r="E197" i="11"/>
  <c r="E167" i="11"/>
  <c r="F167" i="11"/>
  <c r="H167" i="11" s="1"/>
  <c r="C167" i="11"/>
  <c r="G167" i="11" s="1"/>
  <c r="D167" i="11"/>
  <c r="E202" i="11"/>
  <c r="F202" i="11"/>
  <c r="H202" i="11" s="1"/>
  <c r="C202" i="11"/>
  <c r="G202" i="11" s="1"/>
  <c r="D202" i="11"/>
  <c r="E182" i="11"/>
  <c r="F182" i="11"/>
  <c r="H182" i="11" s="1"/>
  <c r="C182" i="11"/>
  <c r="G182" i="11" s="1"/>
  <c r="D182" i="11"/>
  <c r="E239" i="11"/>
  <c r="F239" i="11"/>
  <c r="H239" i="11" s="1"/>
  <c r="C239" i="11"/>
  <c r="G239" i="11" s="1"/>
  <c r="D239" i="11"/>
  <c r="D168" i="11"/>
  <c r="E168" i="11"/>
  <c r="F147" i="11"/>
  <c r="H147" i="11" s="1"/>
  <c r="C147" i="11"/>
  <c r="G147" i="11" s="1"/>
  <c r="D147" i="11"/>
  <c r="F240" i="11"/>
  <c r="H240" i="11" s="1"/>
  <c r="C240" i="11"/>
  <c r="G240" i="11" s="1"/>
  <c r="D240" i="11"/>
  <c r="E240" i="11"/>
  <c r="F190" i="11"/>
  <c r="H190" i="11" s="1"/>
  <c r="C190" i="11"/>
  <c r="G190" i="11" s="1"/>
  <c r="D190" i="11"/>
  <c r="E190" i="11"/>
  <c r="F158" i="11"/>
  <c r="H158" i="11" s="1"/>
  <c r="C158" i="11"/>
  <c r="G158" i="11" s="1"/>
  <c r="D158" i="11"/>
  <c r="E158" i="11"/>
  <c r="D159" i="11"/>
  <c r="I159" i="11" s="1"/>
  <c r="F159" i="11"/>
  <c r="H159" i="11" s="1"/>
  <c r="E159" i="11"/>
  <c r="F194" i="11"/>
  <c r="H194" i="11" s="1"/>
  <c r="C194" i="11"/>
  <c r="G194" i="11" s="1"/>
  <c r="D194" i="11"/>
  <c r="E194" i="11"/>
  <c r="F204" i="11"/>
  <c r="H204" i="11" s="1"/>
  <c r="C204" i="11"/>
  <c r="G204" i="11" s="1"/>
  <c r="D204" i="11"/>
  <c r="E204" i="11"/>
  <c r="D149" i="11"/>
  <c r="E149" i="11"/>
  <c r="F226" i="11"/>
  <c r="H226" i="11" s="1"/>
  <c r="C226" i="11"/>
  <c r="G226" i="11" s="1"/>
  <c r="D226" i="11"/>
  <c r="E226" i="11"/>
  <c r="F216" i="11"/>
  <c r="H216" i="11" s="1"/>
  <c r="C216" i="11"/>
  <c r="G216" i="11" s="1"/>
  <c r="D216" i="11"/>
  <c r="E216" i="11"/>
  <c r="F176" i="11"/>
  <c r="H176" i="11" s="1"/>
  <c r="C176" i="11"/>
  <c r="G176" i="11" s="1"/>
  <c r="D176" i="11"/>
  <c r="E176" i="11"/>
  <c r="F228" i="11"/>
  <c r="H228" i="11" s="1"/>
  <c r="C228" i="11"/>
  <c r="G228" i="11" s="1"/>
  <c r="D228" i="11"/>
  <c r="E228" i="11"/>
  <c r="D235" i="11"/>
  <c r="I235" i="11" s="1"/>
  <c r="E235" i="11"/>
  <c r="F235" i="11"/>
  <c r="H235" i="11" s="1"/>
  <c r="C219" i="11"/>
  <c r="G219" i="11" s="1"/>
  <c r="I219" i="11" s="1"/>
  <c r="C201" i="11"/>
  <c r="G201" i="11" s="1"/>
  <c r="C217" i="11"/>
  <c r="G217" i="11" s="1"/>
  <c r="C149" i="11"/>
  <c r="G149" i="11" s="1"/>
  <c r="C215" i="11"/>
  <c r="G215" i="11" s="1"/>
  <c r="C220" i="11"/>
  <c r="G220" i="11" s="1"/>
  <c r="C231" i="11"/>
  <c r="G231" i="11" s="1"/>
  <c r="I231" i="11" s="1"/>
  <c r="D236" i="11"/>
  <c r="D151" i="11"/>
  <c r="I151" i="11" s="1"/>
  <c r="D208" i="11"/>
  <c r="D142" i="11"/>
  <c r="E222" i="11"/>
  <c r="E233" i="11"/>
  <c r="E200" i="11"/>
  <c r="E147" i="11"/>
  <c r="E150" i="11"/>
  <c r="E148" i="11"/>
  <c r="F191" i="11"/>
  <c r="H191" i="11" s="1"/>
  <c r="F154" i="11"/>
  <c r="H154" i="11" s="1"/>
  <c r="F241" i="11"/>
  <c r="H241" i="11" s="1"/>
  <c r="F175" i="11"/>
  <c r="H175" i="11" s="1"/>
  <c r="F232" i="11"/>
  <c r="H232" i="11" s="1"/>
  <c r="F188" i="11"/>
  <c r="H188" i="11" s="1"/>
  <c r="F193" i="11"/>
  <c r="H193" i="11" s="1"/>
  <c r="F198" i="11"/>
  <c r="H198" i="11" s="1"/>
  <c r="F173" i="11"/>
  <c r="H173" i="11" s="1"/>
  <c r="F135" i="11"/>
  <c r="H135" i="11" s="1"/>
  <c r="H141" i="11"/>
  <c r="C165" i="11"/>
  <c r="G165" i="11" s="1"/>
  <c r="C170" i="11"/>
  <c r="G170" i="11" s="1"/>
  <c r="C145" i="11"/>
  <c r="G145" i="11" s="1"/>
  <c r="C141" i="11"/>
  <c r="G141" i="11" s="1"/>
  <c r="D165" i="11"/>
  <c r="D170" i="11"/>
  <c r="D145" i="11"/>
  <c r="D141" i="11"/>
  <c r="E165" i="11"/>
  <c r="E170" i="11"/>
  <c r="E145" i="11"/>
  <c r="E141" i="11"/>
  <c r="E177" i="11"/>
  <c r="F177" i="11"/>
  <c r="H177" i="11" s="1"/>
  <c r="E131" i="11"/>
  <c r="F131" i="11"/>
  <c r="H131" i="11" s="1"/>
  <c r="E172" i="11"/>
  <c r="F172" i="11"/>
  <c r="H172" i="11" s="1"/>
  <c r="D173" i="11"/>
  <c r="D135" i="11"/>
  <c r="E227" i="11"/>
  <c r="E199" i="11"/>
  <c r="E160" i="11"/>
  <c r="E163" i="11"/>
  <c r="H137" i="11"/>
  <c r="H245" i="11"/>
  <c r="H174" i="11"/>
  <c r="H201" i="11"/>
  <c r="H225" i="11"/>
  <c r="H149" i="11"/>
  <c r="H169" i="11"/>
  <c r="H168" i="11"/>
  <c r="H243" i="11"/>
  <c r="H220" i="11"/>
  <c r="H227" i="11"/>
  <c r="H199" i="11"/>
  <c r="H160" i="11"/>
  <c r="H163" i="11"/>
  <c r="H146" i="11"/>
  <c r="H237" i="11"/>
  <c r="H138" i="11"/>
  <c r="H212" i="11"/>
  <c r="H144" i="11"/>
  <c r="H229" i="11"/>
  <c r="H153" i="11"/>
  <c r="H152" i="11"/>
  <c r="H165" i="11"/>
  <c r="H170" i="11"/>
  <c r="H145" i="11"/>
  <c r="E133" i="11"/>
  <c r="C133" i="11"/>
  <c r="G133" i="11" s="1"/>
  <c r="C107" i="11"/>
  <c r="G107" i="11" s="1"/>
  <c r="E76" i="11"/>
  <c r="C76" i="11"/>
  <c r="G76" i="11" s="1"/>
  <c r="D76" i="11"/>
  <c r="C116" i="11"/>
  <c r="G116" i="11" s="1"/>
  <c r="F119" i="11"/>
  <c r="H119" i="11" s="1"/>
  <c r="C98" i="11"/>
  <c r="G98" i="11" s="1"/>
  <c r="C119" i="11"/>
  <c r="G119" i="11" s="1"/>
  <c r="C91" i="11"/>
  <c r="G91" i="11" s="1"/>
  <c r="C81" i="11"/>
  <c r="G81" i="11" s="1"/>
  <c r="D100" i="11"/>
  <c r="I100" i="11" s="1"/>
  <c r="D103" i="11"/>
  <c r="E117" i="11"/>
  <c r="E115" i="11"/>
  <c r="E90" i="11"/>
  <c r="F122" i="11"/>
  <c r="H122" i="11" s="1"/>
  <c r="F111" i="11"/>
  <c r="H111" i="11" s="1"/>
  <c r="C122" i="11"/>
  <c r="G122" i="11" s="1"/>
  <c r="C103" i="11"/>
  <c r="G103" i="11" s="1"/>
  <c r="C93" i="11"/>
  <c r="G93" i="11" s="1"/>
  <c r="C78" i="11"/>
  <c r="G78" i="11" s="1"/>
  <c r="D116" i="11"/>
  <c r="E100" i="11"/>
  <c r="E86" i="11"/>
  <c r="E82" i="11"/>
  <c r="F117" i="11"/>
  <c r="H117" i="11" s="1"/>
  <c r="F110" i="11"/>
  <c r="H110" i="11" s="1"/>
  <c r="E110" i="11"/>
  <c r="E75" i="11"/>
  <c r="C106" i="11"/>
  <c r="G106" i="11" s="1"/>
  <c r="C111" i="11"/>
  <c r="G111" i="11" s="1"/>
  <c r="C92" i="11"/>
  <c r="G92" i="11" s="1"/>
  <c r="D99" i="11"/>
  <c r="I99" i="11" s="1"/>
  <c r="E99" i="11"/>
  <c r="E80" i="11"/>
  <c r="E77" i="11"/>
  <c r="F106" i="11"/>
  <c r="H106" i="11" s="1"/>
  <c r="F107" i="11"/>
  <c r="H107" i="11" s="1"/>
  <c r="C88" i="11"/>
  <c r="G88" i="11" s="1"/>
  <c r="I88" i="11" s="1"/>
  <c r="F88" i="11"/>
  <c r="H88" i="11" s="1"/>
  <c r="E88" i="11"/>
  <c r="C101" i="11"/>
  <c r="G101" i="11" s="1"/>
  <c r="I101" i="11" s="1"/>
  <c r="F101" i="11"/>
  <c r="H101" i="11" s="1"/>
  <c r="E101" i="11"/>
  <c r="C109" i="11"/>
  <c r="G109" i="11" s="1"/>
  <c r="F109" i="11"/>
  <c r="H109" i="11" s="1"/>
  <c r="E109" i="11"/>
  <c r="F87" i="11"/>
  <c r="H87" i="11" s="1"/>
  <c r="E87" i="11"/>
  <c r="D87" i="11"/>
  <c r="F112" i="11"/>
  <c r="H112" i="11" s="1"/>
  <c r="E112" i="11"/>
  <c r="F121" i="11"/>
  <c r="H121" i="11" s="1"/>
  <c r="E121" i="11"/>
  <c r="F74" i="11"/>
  <c r="H74" i="11" s="1"/>
  <c r="E74" i="11"/>
  <c r="D74" i="11"/>
  <c r="F84" i="11"/>
  <c r="H84" i="11" s="1"/>
  <c r="E84" i="11"/>
  <c r="D84" i="11"/>
  <c r="F83" i="11"/>
  <c r="H83" i="11" s="1"/>
  <c r="E83" i="11"/>
  <c r="D83" i="11"/>
  <c r="I83" i="11" s="1"/>
  <c r="C113" i="11"/>
  <c r="G113" i="11" s="1"/>
  <c r="I113" i="11" s="1"/>
  <c r="F113" i="11"/>
  <c r="H113" i="11" s="1"/>
  <c r="E113" i="11"/>
  <c r="D104" i="11"/>
  <c r="C104" i="11"/>
  <c r="G104" i="11" s="1"/>
  <c r="F104" i="11"/>
  <c r="H104" i="11" s="1"/>
  <c r="D94" i="11"/>
  <c r="C94" i="11"/>
  <c r="G94" i="11" s="1"/>
  <c r="F94" i="11"/>
  <c r="H94" i="11" s="1"/>
  <c r="C105" i="11"/>
  <c r="G105" i="11" s="1"/>
  <c r="F105" i="11"/>
  <c r="H105" i="11" s="1"/>
  <c r="E105" i="11"/>
  <c r="C118" i="11"/>
  <c r="G118" i="11" s="1"/>
  <c r="I118" i="11" s="1"/>
  <c r="F118" i="11"/>
  <c r="H118" i="11" s="1"/>
  <c r="E118" i="11"/>
  <c r="C112" i="11"/>
  <c r="G112" i="11" s="1"/>
  <c r="I112" i="11" s="1"/>
  <c r="C87" i="11"/>
  <c r="G87" i="11" s="1"/>
  <c r="C84" i="11"/>
  <c r="G84" i="11" s="1"/>
  <c r="C74" i="11"/>
  <c r="G74" i="11" s="1"/>
  <c r="D121" i="11"/>
  <c r="I121" i="11" s="1"/>
  <c r="D109" i="11"/>
  <c r="C114" i="11"/>
  <c r="G114" i="11" s="1"/>
  <c r="I114" i="11" s="1"/>
  <c r="F114" i="11"/>
  <c r="H114" i="11" s="1"/>
  <c r="E114" i="11"/>
  <c r="C97" i="11"/>
  <c r="G97" i="11" s="1"/>
  <c r="F97" i="11"/>
  <c r="H97" i="11" s="1"/>
  <c r="E97" i="11"/>
  <c r="C96" i="11"/>
  <c r="G96" i="11" s="1"/>
  <c r="F96" i="11"/>
  <c r="H96" i="11" s="1"/>
  <c r="E96" i="11"/>
  <c r="C79" i="11"/>
  <c r="G79" i="11" s="1"/>
  <c r="I79" i="11" s="1"/>
  <c r="F79" i="11"/>
  <c r="H79" i="11" s="1"/>
  <c r="E79" i="11"/>
  <c r="D120" i="11"/>
  <c r="C120" i="11"/>
  <c r="G120" i="11" s="1"/>
  <c r="F120" i="11"/>
  <c r="H120" i="11" s="1"/>
  <c r="E95" i="11"/>
  <c r="D95" i="11"/>
  <c r="I95" i="11" s="1"/>
  <c r="F95" i="11"/>
  <c r="H95" i="11" s="1"/>
  <c r="F102" i="11"/>
  <c r="H102" i="11" s="1"/>
  <c r="E102" i="11"/>
  <c r="D102" i="11"/>
  <c r="I102" i="11" s="1"/>
  <c r="F89" i="11"/>
  <c r="H89" i="11" s="1"/>
  <c r="E89" i="11"/>
  <c r="D89" i="11"/>
  <c r="I89" i="11" s="1"/>
  <c r="F85" i="11"/>
  <c r="H85" i="11" s="1"/>
  <c r="E85" i="11"/>
  <c r="D85" i="11"/>
  <c r="I85" i="11" s="1"/>
  <c r="F108" i="11"/>
  <c r="H108" i="11" s="1"/>
  <c r="E108" i="11"/>
  <c r="D108" i="11"/>
  <c r="I108" i="11" s="1"/>
  <c r="D105" i="11"/>
  <c r="D96" i="11"/>
  <c r="D97" i="11"/>
  <c r="E104" i="11"/>
  <c r="E120" i="11"/>
  <c r="F93" i="11"/>
  <c r="H93" i="11" s="1"/>
  <c r="F92" i="11"/>
  <c r="F91" i="11"/>
  <c r="H91" i="11" s="1"/>
  <c r="F78" i="11"/>
  <c r="H78" i="11" s="1"/>
  <c r="F98" i="11"/>
  <c r="H98" i="11" s="1"/>
  <c r="F81" i="11"/>
  <c r="H81" i="11" s="1"/>
  <c r="F115" i="11"/>
  <c r="H115" i="11" s="1"/>
  <c r="F86" i="11"/>
  <c r="H86" i="11" s="1"/>
  <c r="F80" i="11"/>
  <c r="H80" i="11" s="1"/>
  <c r="F75" i="11"/>
  <c r="H75" i="11" s="1"/>
  <c r="F90" i="11"/>
  <c r="H90" i="11" s="1"/>
  <c r="F82" i="11"/>
  <c r="H82" i="11" s="1"/>
  <c r="F77" i="11"/>
  <c r="H77" i="11" s="1"/>
  <c r="C117" i="11"/>
  <c r="G117" i="11" s="1"/>
  <c r="I117" i="11" s="1"/>
  <c r="C110" i="11"/>
  <c r="G110" i="11" s="1"/>
  <c r="I110" i="11" s="1"/>
  <c r="C115" i="11"/>
  <c r="G115" i="11" s="1"/>
  <c r="I115" i="11" s="1"/>
  <c r="C86" i="11"/>
  <c r="G86" i="11" s="1"/>
  <c r="I86" i="11" s="1"/>
  <c r="C80" i="11"/>
  <c r="G80" i="11" s="1"/>
  <c r="I80" i="11" s="1"/>
  <c r="C75" i="11"/>
  <c r="G75" i="11" s="1"/>
  <c r="I75" i="11" s="1"/>
  <c r="C90" i="11"/>
  <c r="G90" i="11" s="1"/>
  <c r="I90" i="11" s="1"/>
  <c r="C82" i="11"/>
  <c r="G82" i="11" s="1"/>
  <c r="I82" i="11" s="1"/>
  <c r="C77" i="11"/>
  <c r="G77" i="11" s="1"/>
  <c r="I77" i="11" s="1"/>
  <c r="D122" i="11"/>
  <c r="D106" i="11"/>
  <c r="D119" i="11"/>
  <c r="D111" i="11"/>
  <c r="D107" i="11"/>
  <c r="D93" i="11"/>
  <c r="D92" i="11"/>
  <c r="I92" i="11" s="1"/>
  <c r="D91" i="11"/>
  <c r="I91" i="11" s="1"/>
  <c r="D78" i="11"/>
  <c r="D98" i="11"/>
  <c r="I98" i="11" s="1"/>
  <c r="D81" i="11"/>
  <c r="E116" i="11"/>
  <c r="E103" i="11"/>
  <c r="F100" i="11"/>
  <c r="H100" i="11" s="1"/>
  <c r="F99" i="11"/>
  <c r="H99" i="11" s="1"/>
  <c r="H92" i="11"/>
  <c r="H116" i="11"/>
  <c r="H103" i="11"/>
  <c r="E66" i="11"/>
  <c r="F65" i="11"/>
  <c r="H65" i="11" s="1"/>
  <c r="D66" i="11"/>
  <c r="E65" i="11"/>
  <c r="D65" i="11"/>
  <c r="H76" i="11"/>
  <c r="C66" i="11"/>
  <c r="G66" i="11" s="1"/>
  <c r="C51" i="11"/>
  <c r="G51" i="11" s="1"/>
  <c r="C42" i="11"/>
  <c r="G42" i="11" s="1"/>
  <c r="D11" i="11"/>
  <c r="I11" i="11" s="1"/>
  <c r="C46" i="11"/>
  <c r="G46" i="11" s="1"/>
  <c r="C12" i="11"/>
  <c r="G12" i="11" s="1"/>
  <c r="C40" i="11"/>
  <c r="G40" i="11" s="1"/>
  <c r="I40" i="11" s="1"/>
  <c r="C22" i="11"/>
  <c r="G22" i="11" s="1"/>
  <c r="C53" i="11"/>
  <c r="G53" i="11" s="1"/>
  <c r="C20" i="11"/>
  <c r="G20" i="11" s="1"/>
  <c r="C17" i="11"/>
  <c r="G17" i="11" s="1"/>
  <c r="H66" i="11"/>
  <c r="G65" i="11"/>
  <c r="C50" i="11"/>
  <c r="G50" i="11" s="1"/>
  <c r="I50" i="11" s="1"/>
  <c r="C48" i="11"/>
  <c r="G48" i="11" s="1"/>
  <c r="I48" i="11" s="1"/>
  <c r="D18" i="11"/>
  <c r="D54" i="11"/>
  <c r="D53" i="11"/>
  <c r="D51" i="11"/>
  <c r="D23" i="11"/>
  <c r="D27" i="11"/>
  <c r="D20" i="11"/>
  <c r="D42" i="11"/>
  <c r="D47" i="11"/>
  <c r="D30" i="11"/>
  <c r="E33" i="11"/>
  <c r="E55" i="11"/>
  <c r="E52" i="11"/>
  <c r="E46" i="11"/>
  <c r="E22" i="11"/>
  <c r="E32" i="11"/>
  <c r="E26" i="11"/>
  <c r="E39" i="11"/>
  <c r="E12" i="11"/>
  <c r="E38" i="11"/>
  <c r="E18" i="11"/>
  <c r="E11" i="11"/>
  <c r="F56" i="11"/>
  <c r="H56" i="11" s="1"/>
  <c r="F40" i="11"/>
  <c r="H40" i="11" s="1"/>
  <c r="F35" i="11"/>
  <c r="H35" i="11" s="1"/>
  <c r="F43" i="11"/>
  <c r="H43" i="11" s="1"/>
  <c r="F21" i="11"/>
  <c r="H21" i="11" s="1"/>
  <c r="F50" i="11"/>
  <c r="H50" i="11" s="1"/>
  <c r="F13" i="11"/>
  <c r="H13" i="11" s="1"/>
  <c r="F19" i="11"/>
  <c r="H19" i="11" s="1"/>
  <c r="F25" i="11"/>
  <c r="H25" i="11" s="1"/>
  <c r="F48" i="11"/>
  <c r="H48" i="11" s="1"/>
  <c r="F34" i="11"/>
  <c r="H34" i="11" s="1"/>
  <c r="C21" i="11"/>
  <c r="G21" i="11" s="1"/>
  <c r="I21" i="11" s="1"/>
  <c r="C39" i="11"/>
  <c r="G39" i="11" s="1"/>
  <c r="C25" i="11"/>
  <c r="G25" i="11" s="1"/>
  <c r="I25" i="11" s="1"/>
  <c r="C33" i="11"/>
  <c r="D24" i="11"/>
  <c r="I24" i="11" s="1"/>
  <c r="D28" i="11"/>
  <c r="I28" i="11" s="1"/>
  <c r="D55" i="11"/>
  <c r="I55" i="11" s="1"/>
  <c r="D52" i="11"/>
  <c r="D46" i="11"/>
  <c r="D22" i="11"/>
  <c r="D32" i="11"/>
  <c r="I32" i="11" s="1"/>
  <c r="D26" i="11"/>
  <c r="D39" i="11"/>
  <c r="D12" i="11"/>
  <c r="D38" i="11"/>
  <c r="I38" i="11" s="1"/>
  <c r="E16" i="11"/>
  <c r="E41" i="11"/>
  <c r="E49" i="11"/>
  <c r="E45" i="11"/>
  <c r="E15" i="11"/>
  <c r="E14" i="11"/>
  <c r="E37" i="11"/>
  <c r="E31" i="11"/>
  <c r="E36" i="11"/>
  <c r="E44" i="11"/>
  <c r="E24" i="11"/>
  <c r="E28" i="11"/>
  <c r="F54" i="11"/>
  <c r="H54" i="11" s="1"/>
  <c r="F53" i="11"/>
  <c r="H53" i="11" s="1"/>
  <c r="F51" i="11"/>
  <c r="H51" i="11" s="1"/>
  <c r="F23" i="11"/>
  <c r="H23" i="11" s="1"/>
  <c r="F27" i="11"/>
  <c r="H27" i="11" s="1"/>
  <c r="F20" i="11"/>
  <c r="H20" i="11" s="1"/>
  <c r="F42" i="11"/>
  <c r="H42" i="11" s="1"/>
  <c r="F47" i="11"/>
  <c r="H47" i="11" s="1"/>
  <c r="F30" i="11"/>
  <c r="H30" i="11" s="1"/>
  <c r="F29" i="11"/>
  <c r="H29" i="11" s="1"/>
  <c r="F17" i="11"/>
  <c r="H17" i="11" s="1"/>
  <c r="C54" i="11"/>
  <c r="G54" i="11" s="1"/>
  <c r="C52" i="11"/>
  <c r="G52" i="11" s="1"/>
  <c r="C43" i="11"/>
  <c r="G43" i="11" s="1"/>
  <c r="I43" i="11" s="1"/>
  <c r="C27" i="11"/>
  <c r="G27" i="11" s="1"/>
  <c r="C26" i="11"/>
  <c r="G26" i="11" s="1"/>
  <c r="C19" i="11"/>
  <c r="G19" i="11" s="1"/>
  <c r="I19" i="11" s="1"/>
  <c r="C30" i="11"/>
  <c r="G30" i="11" s="1"/>
  <c r="C18" i="11"/>
  <c r="G18" i="11" s="1"/>
  <c r="D33" i="11"/>
  <c r="D34" i="11"/>
  <c r="I34" i="11" s="1"/>
  <c r="D16" i="11"/>
  <c r="I16" i="11" s="1"/>
  <c r="D41" i="11"/>
  <c r="I41" i="11" s="1"/>
  <c r="D49" i="11"/>
  <c r="I49" i="11" s="1"/>
  <c r="D45" i="11"/>
  <c r="I45" i="11" s="1"/>
  <c r="D15" i="11"/>
  <c r="I15" i="11" s="1"/>
  <c r="D14" i="11"/>
  <c r="I14" i="11" s="1"/>
  <c r="D37" i="11"/>
  <c r="I37" i="11" s="1"/>
  <c r="D31" i="11"/>
  <c r="I31" i="11" s="1"/>
  <c r="D36" i="11"/>
  <c r="I36" i="11" s="1"/>
  <c r="D44" i="11"/>
  <c r="I44" i="11" s="1"/>
  <c r="E56" i="11"/>
  <c r="E40" i="11"/>
  <c r="E35" i="11"/>
  <c r="E43" i="11"/>
  <c r="E21" i="11"/>
  <c r="E50" i="11"/>
  <c r="E13" i="11"/>
  <c r="E19" i="11"/>
  <c r="E25" i="11"/>
  <c r="E48" i="11"/>
  <c r="E34" i="11"/>
  <c r="F55" i="11"/>
  <c r="H55" i="11" s="1"/>
  <c r="F32" i="11"/>
  <c r="H32" i="11" s="1"/>
  <c r="F38" i="11"/>
  <c r="H38" i="11" s="1"/>
  <c r="F11" i="11"/>
  <c r="H11" i="11" s="1"/>
  <c r="C56" i="11"/>
  <c r="G56" i="11" s="1"/>
  <c r="I56" i="11" s="1"/>
  <c r="C35" i="11"/>
  <c r="G35" i="11" s="1"/>
  <c r="I35" i="11" s="1"/>
  <c r="C23" i="11"/>
  <c r="G23" i="11" s="1"/>
  <c r="C13" i="11"/>
  <c r="G13" i="11" s="1"/>
  <c r="I13" i="11" s="1"/>
  <c r="C47" i="11"/>
  <c r="G47" i="11" s="1"/>
  <c r="D29" i="11"/>
  <c r="D17" i="11"/>
  <c r="F16" i="11"/>
  <c r="H16" i="11" s="1"/>
  <c r="F41" i="11"/>
  <c r="H41" i="11" s="1"/>
  <c r="F49" i="11"/>
  <c r="H49" i="11" s="1"/>
  <c r="F45" i="11"/>
  <c r="H45" i="11" s="1"/>
  <c r="F15" i="11"/>
  <c r="H15" i="11" s="1"/>
  <c r="F14" i="11"/>
  <c r="H14" i="11" s="1"/>
  <c r="F37" i="11"/>
  <c r="H37" i="11" s="1"/>
  <c r="F31" i="11"/>
  <c r="H31" i="11" s="1"/>
  <c r="F36" i="11"/>
  <c r="H36" i="11" s="1"/>
  <c r="F44" i="11"/>
  <c r="H44" i="11" s="1"/>
  <c r="F24" i="11"/>
  <c r="H24" i="11" s="1"/>
  <c r="F28" i="11"/>
  <c r="H28" i="11" s="1"/>
  <c r="H18" i="11"/>
  <c r="H12" i="11"/>
  <c r="H39" i="11"/>
  <c r="H26" i="11"/>
  <c r="H22" i="11"/>
  <c r="H46" i="11"/>
  <c r="H52" i="11"/>
  <c r="H33" i="11"/>
  <c r="I119" i="11" l="1"/>
  <c r="I160" i="11"/>
  <c r="I122" i="11"/>
  <c r="I168" i="11"/>
  <c r="I210" i="11"/>
  <c r="I141" i="11"/>
  <c r="I145" i="11"/>
  <c r="I175" i="11"/>
  <c r="I161" i="11"/>
  <c r="I17" i="11"/>
  <c r="I20" i="11"/>
  <c r="I135" i="11"/>
  <c r="I29" i="11"/>
  <c r="I96" i="11"/>
  <c r="I78" i="11"/>
  <c r="I107" i="11"/>
  <c r="I116" i="11"/>
  <c r="I94" i="11"/>
  <c r="I111" i="11"/>
  <c r="I103" i="11"/>
  <c r="I42" i="11"/>
  <c r="I47" i="11"/>
  <c r="I51" i="11"/>
  <c r="I148" i="11"/>
  <c r="I241" i="11"/>
  <c r="I223" i="11"/>
  <c r="I232" i="11"/>
  <c r="I170" i="11"/>
  <c r="I237" i="11"/>
  <c r="I133" i="11"/>
  <c r="I153" i="11"/>
  <c r="I212" i="11"/>
  <c r="I199" i="11"/>
  <c r="I218" i="11"/>
  <c r="I144" i="11"/>
  <c r="I137" i="11"/>
  <c r="I236" i="11"/>
  <c r="I221" i="11"/>
  <c r="I214" i="11"/>
  <c r="I165" i="11"/>
  <c r="I208" i="11"/>
  <c r="I211" i="11"/>
  <c r="I146" i="11"/>
  <c r="I227" i="11"/>
  <c r="I163" i="11"/>
  <c r="I173" i="11"/>
  <c r="I142" i="11"/>
  <c r="I138" i="11"/>
  <c r="I225" i="11"/>
  <c r="I229" i="11"/>
  <c r="I188" i="11"/>
  <c r="I152" i="11"/>
  <c r="I178" i="11"/>
  <c r="I158" i="11"/>
  <c r="I190" i="11"/>
  <c r="I240" i="11"/>
  <c r="I239" i="11"/>
  <c r="I182" i="11"/>
  <c r="I202" i="11"/>
  <c r="I167" i="11"/>
  <c r="I245" i="11"/>
  <c r="I243" i="11"/>
  <c r="I81" i="11"/>
  <c r="I109" i="11"/>
  <c r="I84" i="11"/>
  <c r="I76" i="11"/>
  <c r="I106" i="11"/>
  <c r="I105" i="11"/>
  <c r="I169" i="11"/>
  <c r="I93" i="11"/>
  <c r="I104" i="11"/>
  <c r="I224" i="11"/>
  <c r="I185" i="11"/>
  <c r="I65" i="11"/>
  <c r="I18" i="11"/>
  <c r="I22" i="11"/>
  <c r="I66" i="11"/>
  <c r="I87" i="11"/>
  <c r="I184" i="11"/>
  <c r="I205" i="11"/>
  <c r="I23" i="11"/>
  <c r="I97" i="11"/>
  <c r="I120" i="11"/>
  <c r="I74" i="11"/>
  <c r="I204" i="11"/>
  <c r="I194" i="11"/>
  <c r="I155" i="11"/>
  <c r="I213" i="11"/>
  <c r="I174" i="11"/>
  <c r="I238" i="11"/>
  <c r="I140" i="11"/>
  <c r="I186" i="11"/>
  <c r="I228" i="11"/>
  <c r="I176" i="11"/>
  <c r="I216" i="11"/>
  <c r="I226" i="11"/>
  <c r="I149" i="11"/>
  <c r="I147" i="11"/>
  <c r="I132" i="11"/>
  <c r="I207" i="11"/>
  <c r="I220" i="11"/>
  <c r="I217" i="11"/>
  <c r="I244" i="11"/>
  <c r="I242" i="11"/>
  <c r="I206" i="11"/>
  <c r="I201" i="11"/>
  <c r="I192" i="11"/>
  <c r="I215" i="11"/>
  <c r="I156" i="11"/>
  <c r="I183" i="11"/>
  <c r="I180" i="11"/>
  <c r="I30" i="11"/>
  <c r="I53" i="11"/>
  <c r="I46" i="11"/>
  <c r="I12" i="11"/>
  <c r="I27" i="11"/>
  <c r="I54" i="11"/>
  <c r="I52" i="11"/>
  <c r="I26" i="11"/>
  <c r="I39" i="11"/>
  <c r="A5" i="10" l="1"/>
  <c r="A4" i="10"/>
  <c r="I63" i="9"/>
  <c r="H63" i="9"/>
  <c r="G63" i="9"/>
  <c r="F63" i="9"/>
  <c r="E63" i="9"/>
  <c r="E62" i="9"/>
  <c r="D63" i="9"/>
  <c r="D62" i="9"/>
  <c r="C63" i="9"/>
  <c r="C62" i="9"/>
  <c r="I62" i="9"/>
  <c r="H62" i="9"/>
  <c r="G62" i="9"/>
  <c r="F62" i="9"/>
  <c r="G57" i="9"/>
  <c r="G56" i="9"/>
  <c r="F57" i="9"/>
  <c r="F56" i="9"/>
  <c r="E57" i="9"/>
  <c r="E56" i="9"/>
  <c r="D57" i="9"/>
  <c r="D56" i="9"/>
  <c r="F13" i="9"/>
  <c r="A50" i="9"/>
  <c r="H44" i="9"/>
  <c r="H43" i="9"/>
  <c r="H42" i="9"/>
  <c r="H41" i="9"/>
  <c r="H40" i="9"/>
  <c r="H39" i="9"/>
  <c r="H38" i="9"/>
  <c r="H37" i="9"/>
  <c r="H36" i="9"/>
  <c r="H35" i="9"/>
  <c r="H34" i="9"/>
  <c r="H33" i="9"/>
  <c r="G33" i="9"/>
  <c r="G44" i="9"/>
  <c r="G43" i="9"/>
  <c r="G42" i="9"/>
  <c r="G41" i="9"/>
  <c r="G40" i="9"/>
  <c r="G38" i="9"/>
  <c r="G39" i="9"/>
  <c r="G37" i="9"/>
  <c r="G36" i="9"/>
  <c r="G35" i="9"/>
  <c r="G34" i="9"/>
  <c r="F33" i="9"/>
  <c r="F44" i="9"/>
  <c r="F43" i="9"/>
  <c r="F42" i="9"/>
  <c r="F41" i="9"/>
  <c r="F40" i="9"/>
  <c r="F39" i="9"/>
  <c r="F38" i="9"/>
  <c r="F37" i="9"/>
  <c r="F36" i="9"/>
  <c r="F35" i="9"/>
  <c r="F34" i="9"/>
  <c r="E44" i="9"/>
  <c r="E43" i="9"/>
  <c r="E42" i="9"/>
  <c r="E41" i="9"/>
  <c r="E40" i="9"/>
  <c r="E39" i="9"/>
  <c r="E38" i="9"/>
  <c r="E37" i="9"/>
  <c r="E36" i="9"/>
  <c r="E35" i="9"/>
  <c r="E34" i="9"/>
  <c r="E33" i="9"/>
  <c r="J20" i="9"/>
  <c r="J19" i="9"/>
  <c r="I19" i="9"/>
  <c r="I20" i="9"/>
  <c r="H20" i="9"/>
  <c r="H19" i="9"/>
  <c r="G19" i="9"/>
  <c r="G20" i="9"/>
  <c r="G16" i="9"/>
  <c r="F20" i="9"/>
  <c r="F19" i="9"/>
  <c r="F16" i="9"/>
  <c r="J17" i="9"/>
  <c r="I17" i="9"/>
  <c r="H17" i="9"/>
  <c r="G17" i="9"/>
  <c r="J16" i="9"/>
  <c r="I16" i="9"/>
  <c r="H16" i="9"/>
  <c r="G13" i="9"/>
  <c r="F17" i="9"/>
  <c r="J14" i="9"/>
  <c r="I14" i="9"/>
  <c r="H14" i="9"/>
  <c r="G14" i="9"/>
  <c r="J13" i="9"/>
  <c r="I13" i="9"/>
  <c r="H13" i="9"/>
  <c r="G10" i="9"/>
  <c r="F14" i="9"/>
  <c r="F10" i="9"/>
  <c r="J11" i="9"/>
  <c r="I11" i="9"/>
  <c r="H11" i="9"/>
  <c r="G11" i="9"/>
  <c r="J10" i="9"/>
  <c r="I10" i="9"/>
  <c r="H10" i="9"/>
  <c r="F11" i="9"/>
  <c r="C20" i="9"/>
  <c r="C19" i="9"/>
  <c r="C17" i="9"/>
  <c r="C16" i="9"/>
  <c r="C14" i="9"/>
  <c r="C13" i="9"/>
  <c r="C11" i="9"/>
  <c r="C10" i="9"/>
  <c r="A4" i="9"/>
  <c r="A29" i="9" s="1"/>
  <c r="A52" i="9" s="1"/>
  <c r="A71" i="9" s="1"/>
  <c r="A3" i="9"/>
  <c r="A28" i="9" s="1"/>
  <c r="A51" i="9" s="1"/>
  <c r="A70" i="9" s="1"/>
  <c r="A230" i="8"/>
  <c r="A215" i="8"/>
  <c r="A83" i="8"/>
  <c r="A63" i="8"/>
  <c r="A26" i="5"/>
  <c r="A194" i="8"/>
  <c r="A144" i="8"/>
  <c r="A130" i="8"/>
  <c r="A166" i="8" s="1"/>
  <c r="A5" i="8"/>
  <c r="A4" i="8"/>
  <c r="A107" i="5"/>
  <c r="A87" i="5"/>
  <c r="A71" i="5"/>
  <c r="A46" i="5"/>
  <c r="U95" i="8" l="1"/>
  <c r="U94" i="8"/>
  <c r="U78" i="8"/>
  <c r="U125" i="8"/>
  <c r="J125" i="8"/>
  <c r="I125" i="8"/>
  <c r="U77" i="8"/>
  <c r="U59" i="8"/>
  <c r="I38" i="9"/>
  <c r="U43" i="8"/>
  <c r="U58" i="8"/>
  <c r="U42" i="8"/>
  <c r="U41" i="8"/>
  <c r="J41" i="8"/>
  <c r="I41" i="8"/>
  <c r="U126" i="8"/>
  <c r="I126" i="8"/>
  <c r="U124" i="8"/>
  <c r="J124" i="8"/>
  <c r="I124" i="8"/>
  <c r="U123" i="8"/>
  <c r="J123" i="8"/>
  <c r="I123" i="8"/>
  <c r="U122" i="8"/>
  <c r="J122" i="8"/>
  <c r="I122" i="8"/>
  <c r="U121" i="8"/>
  <c r="J121" i="8"/>
  <c r="I121" i="8"/>
  <c r="I42" i="9"/>
  <c r="J120" i="8"/>
  <c r="I120" i="8"/>
  <c r="U120" i="8"/>
  <c r="K19" i="9"/>
  <c r="U57" i="8"/>
  <c r="U79" i="8"/>
  <c r="I34" i="9"/>
  <c r="I35" i="9"/>
  <c r="I39" i="9"/>
  <c r="I43" i="9"/>
  <c r="O116" i="10"/>
  <c r="O117" i="10"/>
  <c r="O107" i="10"/>
  <c r="O103" i="10"/>
  <c r="O108" i="10"/>
  <c r="O106" i="10"/>
  <c r="O102" i="10"/>
  <c r="O105" i="10"/>
  <c r="O104" i="10"/>
  <c r="O47" i="10"/>
  <c r="O51" i="10"/>
  <c r="O55" i="10"/>
  <c r="O59" i="10"/>
  <c r="O63" i="10"/>
  <c r="O67" i="10"/>
  <c r="O48" i="10"/>
  <c r="O52" i="10"/>
  <c r="O56" i="10"/>
  <c r="O60" i="10"/>
  <c r="O64" i="10"/>
  <c r="O49" i="10"/>
  <c r="O53" i="10"/>
  <c r="O57" i="10"/>
  <c r="O61" i="10"/>
  <c r="O65" i="10"/>
  <c r="O50" i="10"/>
  <c r="O54" i="10"/>
  <c r="O58" i="10"/>
  <c r="O62" i="10"/>
  <c r="O66" i="10"/>
  <c r="O94" i="10"/>
  <c r="O46" i="10"/>
  <c r="O78" i="10"/>
  <c r="O79" i="10"/>
  <c r="O83" i="10"/>
  <c r="O87" i="10"/>
  <c r="O91" i="10"/>
  <c r="O85" i="10"/>
  <c r="O93" i="10"/>
  <c r="O86" i="10"/>
  <c r="O80" i="10"/>
  <c r="O84" i="10"/>
  <c r="O88" i="10"/>
  <c r="O92" i="10"/>
  <c r="O89" i="10"/>
  <c r="O82" i="10"/>
  <c r="O90" i="10"/>
  <c r="O81" i="10"/>
  <c r="O11" i="10"/>
  <c r="O38" i="10"/>
  <c r="O37" i="10"/>
  <c r="O36" i="10"/>
  <c r="O35" i="10"/>
  <c r="O25" i="10"/>
  <c r="O27" i="10"/>
  <c r="O23" i="10"/>
  <c r="O19" i="10"/>
  <c r="O15" i="10"/>
  <c r="O26" i="10"/>
  <c r="O22" i="10"/>
  <c r="O18" i="10"/>
  <c r="O14" i="10"/>
  <c r="O21" i="10"/>
  <c r="O17" i="10"/>
  <c r="O13" i="10"/>
  <c r="O24" i="10"/>
  <c r="O20" i="10"/>
  <c r="O16" i="10"/>
  <c r="O12" i="10"/>
  <c r="J63" i="9"/>
  <c r="J62" i="9"/>
  <c r="I37" i="9"/>
  <c r="I41" i="9"/>
  <c r="K17" i="9"/>
  <c r="E45" i="9"/>
  <c r="H45" i="9"/>
  <c r="K14" i="9"/>
  <c r="K20" i="9"/>
  <c r="K11" i="9"/>
  <c r="I36" i="9"/>
  <c r="I40" i="9"/>
  <c r="I44" i="9"/>
  <c r="F45" i="9"/>
  <c r="G45" i="9"/>
  <c r="H57" i="9"/>
  <c r="H56" i="9"/>
  <c r="K13" i="9"/>
  <c r="I33" i="9"/>
  <c r="K10" i="9"/>
  <c r="K16" i="9"/>
  <c r="U236" i="8"/>
  <c r="U240" i="8"/>
  <c r="U237" i="8"/>
  <c r="U238" i="8"/>
  <c r="U239" i="8"/>
  <c r="U226" i="8"/>
  <c r="U235" i="8"/>
  <c r="U221" i="8"/>
  <c r="U225" i="8"/>
  <c r="U222" i="8"/>
  <c r="U223" i="8"/>
  <c r="U224" i="8"/>
  <c r="U211" i="8"/>
  <c r="U220" i="8"/>
  <c r="U200" i="8"/>
  <c r="U204" i="8"/>
  <c r="U208" i="8"/>
  <c r="U205" i="8"/>
  <c r="U209" i="8"/>
  <c r="U202" i="8"/>
  <c r="U206" i="8"/>
  <c r="U210" i="8"/>
  <c r="U203" i="8"/>
  <c r="U207" i="8"/>
  <c r="U201" i="8"/>
  <c r="U190" i="8"/>
  <c r="U199" i="8"/>
  <c r="U185" i="8"/>
  <c r="U186" i="8"/>
  <c r="U187" i="8"/>
  <c r="U189" i="8"/>
  <c r="U188" i="8"/>
  <c r="U175" i="8"/>
  <c r="U184" i="8"/>
  <c r="U172" i="8"/>
  <c r="U173" i="8"/>
  <c r="U174" i="8"/>
  <c r="U162" i="8"/>
  <c r="U171" i="8"/>
  <c r="U150" i="8"/>
  <c r="U154" i="8"/>
  <c r="U158" i="8"/>
  <c r="U156" i="8"/>
  <c r="U157" i="8"/>
  <c r="U151" i="8"/>
  <c r="U155" i="8"/>
  <c r="U159" i="8"/>
  <c r="U152" i="8"/>
  <c r="U160" i="8"/>
  <c r="U153" i="8"/>
  <c r="U161" i="8"/>
  <c r="U140" i="8"/>
  <c r="U149" i="8"/>
  <c r="U136" i="8"/>
  <c r="U137" i="8"/>
  <c r="U138" i="8"/>
  <c r="U139" i="8"/>
  <c r="U111" i="8"/>
  <c r="U135" i="8"/>
  <c r="U104" i="8"/>
  <c r="U107" i="8"/>
  <c r="U108" i="8"/>
  <c r="U105" i="8"/>
  <c r="U109" i="8"/>
  <c r="U110" i="8"/>
  <c r="U106" i="8"/>
  <c r="U91" i="8"/>
  <c r="U89" i="8"/>
  <c r="U93" i="8"/>
  <c r="U90" i="8"/>
  <c r="U92" i="8"/>
  <c r="U76" i="8"/>
  <c r="U88" i="8"/>
  <c r="U68" i="8"/>
  <c r="U72" i="8"/>
  <c r="U74" i="8"/>
  <c r="U75" i="8"/>
  <c r="U69" i="8"/>
  <c r="U73" i="8"/>
  <c r="U70" i="8"/>
  <c r="U71" i="8"/>
  <c r="U56" i="8"/>
  <c r="U54" i="8"/>
  <c r="U55" i="8"/>
  <c r="U44" i="8"/>
  <c r="U53" i="8"/>
  <c r="U36" i="8"/>
  <c r="U40" i="8"/>
  <c r="U37" i="8"/>
  <c r="U38" i="8"/>
  <c r="U39" i="8"/>
  <c r="U27" i="8"/>
  <c r="U35" i="8"/>
  <c r="U12" i="8"/>
  <c r="U13" i="8"/>
  <c r="U14" i="8"/>
  <c r="U18" i="8"/>
  <c r="U21" i="8"/>
  <c r="U25" i="8"/>
  <c r="U23" i="8"/>
  <c r="U17" i="8"/>
  <c r="U24" i="8"/>
  <c r="U15" i="8"/>
  <c r="U19" i="8"/>
  <c r="U22" i="8"/>
  <c r="U26" i="8"/>
  <c r="U20" i="8"/>
  <c r="U16" i="8"/>
  <c r="J236" i="8"/>
  <c r="J240" i="8"/>
  <c r="J237" i="8"/>
  <c r="J238" i="8"/>
  <c r="J239" i="8"/>
  <c r="I236" i="8"/>
  <c r="I240" i="8"/>
  <c r="I237" i="8"/>
  <c r="I238" i="8"/>
  <c r="I239" i="8"/>
  <c r="J226" i="8"/>
  <c r="J235" i="8"/>
  <c r="I226" i="8"/>
  <c r="I235" i="8"/>
  <c r="J221" i="8"/>
  <c r="J225" i="8"/>
  <c r="J224" i="8"/>
  <c r="J222" i="8"/>
  <c r="J223" i="8"/>
  <c r="I221" i="8"/>
  <c r="I225" i="8"/>
  <c r="I222" i="8"/>
  <c r="I223" i="8"/>
  <c r="I224" i="8"/>
  <c r="J211" i="8"/>
  <c r="J220" i="8"/>
  <c r="I211" i="8"/>
  <c r="I220" i="8"/>
  <c r="J200" i="8"/>
  <c r="J204" i="8"/>
  <c r="J208" i="8"/>
  <c r="J205" i="8"/>
  <c r="J209" i="8"/>
  <c r="J202" i="8"/>
  <c r="J206" i="8"/>
  <c r="J210" i="8"/>
  <c r="J203" i="8"/>
  <c r="J207" i="8"/>
  <c r="J201" i="8"/>
  <c r="I200" i="8"/>
  <c r="I204" i="8"/>
  <c r="I208" i="8"/>
  <c r="I201" i="8"/>
  <c r="I205" i="8"/>
  <c r="I209" i="8"/>
  <c r="I202" i="8"/>
  <c r="I206" i="8"/>
  <c r="I210" i="8"/>
  <c r="I203" i="8"/>
  <c r="I207" i="8"/>
  <c r="J190" i="8"/>
  <c r="J199" i="8"/>
  <c r="I190" i="8"/>
  <c r="I199" i="8"/>
  <c r="J185" i="8"/>
  <c r="J189" i="8"/>
  <c r="J186" i="8"/>
  <c r="J187" i="8"/>
  <c r="J188" i="8"/>
  <c r="I185" i="8"/>
  <c r="I189" i="8"/>
  <c r="I186" i="8"/>
  <c r="I187" i="8"/>
  <c r="I188" i="8"/>
  <c r="J175" i="8"/>
  <c r="J184" i="8"/>
  <c r="I175" i="8"/>
  <c r="I184" i="8"/>
  <c r="J172" i="8"/>
  <c r="J173" i="8"/>
  <c r="J174" i="8"/>
  <c r="J171" i="8"/>
  <c r="I172" i="8"/>
  <c r="I173" i="8"/>
  <c r="I174" i="8"/>
  <c r="I171" i="8"/>
  <c r="I161" i="8"/>
  <c r="J150" i="8"/>
  <c r="J154" i="8"/>
  <c r="J158" i="8"/>
  <c r="J156" i="8"/>
  <c r="J160" i="8"/>
  <c r="J157" i="8"/>
  <c r="J151" i="8"/>
  <c r="J155" i="8"/>
  <c r="J159" i="8"/>
  <c r="J152" i="8"/>
  <c r="J153" i="8"/>
  <c r="J161" i="8"/>
  <c r="I150" i="8"/>
  <c r="I154" i="8"/>
  <c r="I158" i="8"/>
  <c r="I151" i="8"/>
  <c r="I155" i="8"/>
  <c r="I159" i="8"/>
  <c r="I152" i="8"/>
  <c r="I156" i="8"/>
  <c r="I160" i="8"/>
  <c r="I153" i="8"/>
  <c r="I157" i="8"/>
  <c r="I149" i="8"/>
  <c r="J149" i="8"/>
  <c r="I12" i="8"/>
  <c r="I140" i="8"/>
  <c r="J138" i="8"/>
  <c r="J139" i="8"/>
  <c r="J137" i="8"/>
  <c r="J140" i="8"/>
  <c r="J136" i="8"/>
  <c r="J135" i="8"/>
  <c r="I135" i="8"/>
  <c r="I139" i="8"/>
  <c r="I138" i="8"/>
  <c r="I137" i="8"/>
  <c r="I136" i="8"/>
  <c r="I111" i="8"/>
  <c r="J110" i="8"/>
  <c r="J106" i="8"/>
  <c r="J105" i="8"/>
  <c r="J104" i="8"/>
  <c r="J109" i="8"/>
  <c r="J107" i="8"/>
  <c r="J111" i="8"/>
  <c r="J108" i="8"/>
  <c r="I106" i="8"/>
  <c r="I109" i="8"/>
  <c r="I105" i="8"/>
  <c r="I108" i="8"/>
  <c r="I110" i="8"/>
  <c r="I107" i="8"/>
  <c r="I104" i="8"/>
  <c r="I92" i="8"/>
  <c r="J92" i="8"/>
  <c r="J91" i="8"/>
  <c r="J90" i="8"/>
  <c r="J89" i="8"/>
  <c r="J88" i="8"/>
  <c r="I88" i="8"/>
  <c r="I91" i="8"/>
  <c r="I90" i="8"/>
  <c r="I89" i="8"/>
  <c r="I74" i="8"/>
  <c r="J71" i="8"/>
  <c r="J70" i="8"/>
  <c r="J69" i="8"/>
  <c r="J74" i="8"/>
  <c r="J73" i="8"/>
  <c r="J72" i="8"/>
  <c r="J68" i="8"/>
  <c r="I71" i="8"/>
  <c r="I69" i="8"/>
  <c r="I70" i="8"/>
  <c r="I73" i="8"/>
  <c r="I72" i="8"/>
  <c r="I68" i="8"/>
  <c r="I56" i="8"/>
  <c r="J56" i="8"/>
  <c r="J55" i="8"/>
  <c r="J54" i="8"/>
  <c r="J53" i="8"/>
  <c r="I53" i="8"/>
  <c r="I54" i="8"/>
  <c r="I55" i="8"/>
  <c r="J38" i="8"/>
  <c r="J40" i="8"/>
  <c r="J39" i="8"/>
  <c r="J37" i="8"/>
  <c r="J36" i="8"/>
  <c r="J35" i="8"/>
  <c r="I35" i="8"/>
  <c r="I39" i="8"/>
  <c r="I38" i="8"/>
  <c r="I37" i="8"/>
  <c r="I40" i="8"/>
  <c r="I36" i="8"/>
  <c r="I27" i="8"/>
  <c r="J18" i="8"/>
  <c r="J20" i="8"/>
  <c r="J27" i="8"/>
  <c r="J23" i="8"/>
  <c r="J16" i="8"/>
  <c r="J25" i="8"/>
  <c r="J24" i="8"/>
  <c r="J17" i="8"/>
  <c r="J26" i="8"/>
  <c r="J22" i="8"/>
  <c r="J19" i="8"/>
  <c r="J15" i="8"/>
  <c r="J21" i="8"/>
  <c r="J14" i="8"/>
  <c r="J13" i="8"/>
  <c r="I16" i="8"/>
  <c r="I22" i="8"/>
  <c r="I19" i="8"/>
  <c r="I15" i="8"/>
  <c r="I23" i="8"/>
  <c r="I26" i="8"/>
  <c r="I18" i="8"/>
  <c r="I25" i="8"/>
  <c r="I21" i="8"/>
  <c r="I14" i="8"/>
  <c r="I24" i="8"/>
  <c r="I20" i="8"/>
  <c r="I17" i="8"/>
  <c r="I13" i="8"/>
  <c r="J12" i="8"/>
  <c r="A5" i="5"/>
  <c r="A4" i="5"/>
  <c r="A4" i="3"/>
  <c r="A5" i="3"/>
  <c r="V42" i="5" l="1"/>
  <c r="I42" i="5"/>
  <c r="J42" i="5"/>
  <c r="J64" i="9"/>
  <c r="I45" i="9"/>
  <c r="H58" i="9"/>
  <c r="K22" i="9"/>
  <c r="I12" i="5"/>
  <c r="V12" i="5"/>
  <c r="V22" i="5"/>
  <c r="J21" i="5"/>
  <c r="V19" i="5"/>
  <c r="J18" i="5"/>
  <c r="I17" i="5"/>
  <c r="V15" i="5"/>
  <c r="I14" i="5"/>
  <c r="J20" i="5"/>
  <c r="I19" i="5"/>
  <c r="V17" i="5"/>
  <c r="J16" i="5"/>
  <c r="I15" i="5"/>
  <c r="V14" i="5"/>
  <c r="J13" i="5"/>
  <c r="I20" i="5"/>
  <c r="V18" i="5"/>
  <c r="J17" i="5"/>
  <c r="I16" i="5"/>
  <c r="J14" i="5"/>
  <c r="I13" i="5"/>
  <c r="J22" i="5"/>
  <c r="I21" i="5"/>
  <c r="V20" i="5"/>
  <c r="J19" i="5"/>
  <c r="I18" i="5"/>
  <c r="V16" i="5"/>
  <c r="J15" i="5"/>
  <c r="V13" i="5"/>
  <c r="J12" i="5"/>
  <c r="I22" i="5"/>
  <c r="V21" i="5"/>
  <c r="J113" i="5"/>
  <c r="I112" i="5"/>
  <c r="J112" i="5"/>
  <c r="I113" i="5"/>
  <c r="V112" i="5"/>
  <c r="V113" i="5"/>
  <c r="V102" i="5"/>
  <c r="V103" i="5"/>
  <c r="V92" i="5"/>
  <c r="V101" i="5"/>
  <c r="J102" i="5"/>
  <c r="J103" i="5"/>
  <c r="I101" i="5"/>
  <c r="J101" i="5"/>
  <c r="I102" i="5"/>
  <c r="I103" i="5"/>
  <c r="I92" i="5"/>
  <c r="J92" i="5"/>
  <c r="V77" i="5"/>
  <c r="V81" i="5"/>
  <c r="V78" i="5"/>
  <c r="V82" i="5"/>
  <c r="V83" i="5"/>
  <c r="V79" i="5"/>
  <c r="V80" i="5"/>
  <c r="V67" i="5"/>
  <c r="V76" i="5"/>
  <c r="J77" i="5"/>
  <c r="J81" i="5"/>
  <c r="J78" i="5"/>
  <c r="J82" i="5"/>
  <c r="J83" i="5"/>
  <c r="J79" i="5"/>
  <c r="J80" i="5"/>
  <c r="I76" i="5"/>
  <c r="J76" i="5"/>
  <c r="I77" i="5"/>
  <c r="I81" i="5"/>
  <c r="I78" i="5"/>
  <c r="I82" i="5"/>
  <c r="I83" i="5"/>
  <c r="I79" i="5"/>
  <c r="I80" i="5"/>
  <c r="I67" i="5"/>
  <c r="V63" i="5"/>
  <c r="V64" i="5"/>
  <c r="V65" i="5"/>
  <c r="V66" i="5"/>
  <c r="V53" i="5"/>
  <c r="V62" i="5"/>
  <c r="J62" i="5"/>
  <c r="J63" i="5"/>
  <c r="J67" i="5"/>
  <c r="J64" i="5"/>
  <c r="J65" i="5"/>
  <c r="J66" i="5"/>
  <c r="I63" i="5"/>
  <c r="I64" i="5"/>
  <c r="I66" i="5"/>
  <c r="I65" i="5"/>
  <c r="I51" i="5"/>
  <c r="I62" i="5"/>
  <c r="V52" i="5"/>
  <c r="V51" i="5"/>
  <c r="J52" i="5"/>
  <c r="J53" i="5"/>
  <c r="J51" i="5"/>
  <c r="I52" i="5"/>
  <c r="I53" i="5"/>
  <c r="V41" i="5"/>
  <c r="J41" i="5"/>
  <c r="I31" i="5"/>
  <c r="U10" i="3"/>
  <c r="I10" i="3"/>
  <c r="V37" i="5"/>
  <c r="V33" i="5"/>
  <c r="V40" i="5"/>
  <c r="V36" i="5"/>
  <c r="V39" i="5"/>
  <c r="V35" i="5"/>
  <c r="V32" i="5"/>
  <c r="V38" i="5"/>
  <c r="V34" i="5"/>
  <c r="V31" i="5"/>
  <c r="J39" i="5"/>
  <c r="J37" i="5"/>
  <c r="J35" i="5"/>
  <c r="J33" i="5"/>
  <c r="J32" i="5"/>
  <c r="I41" i="5"/>
  <c r="I39" i="5"/>
  <c r="I37" i="5"/>
  <c r="I35" i="5"/>
  <c r="I33" i="5"/>
  <c r="I32" i="5"/>
  <c r="J40" i="5"/>
  <c r="J38" i="5"/>
  <c r="J36" i="5"/>
  <c r="J34" i="5"/>
  <c r="I40" i="5"/>
  <c r="I38" i="5"/>
  <c r="I36" i="5"/>
  <c r="I34" i="5"/>
  <c r="J31" i="5"/>
  <c r="J12" i="3"/>
  <c r="J11" i="3"/>
  <c r="I12" i="3"/>
  <c r="I11" i="3"/>
  <c r="J10" i="3"/>
  <c r="U12" i="3"/>
  <c r="U11" i="3"/>
  <c r="A5" i="1"/>
  <c r="B25" i="2"/>
  <c r="I51" i="1" l="1"/>
  <c r="J51" i="1"/>
  <c r="U51" i="1"/>
  <c r="I10" i="1"/>
  <c r="U10" i="1"/>
  <c r="U21" i="1"/>
  <c r="U43" i="1"/>
  <c r="U35" i="1"/>
  <c r="U25" i="1"/>
  <c r="U50" i="1"/>
  <c r="U42" i="1"/>
  <c r="U31" i="1"/>
  <c r="U24" i="1"/>
  <c r="U49" i="1"/>
  <c r="U45" i="1"/>
  <c r="U41" i="1"/>
  <c r="U37" i="1"/>
  <c r="U33" i="1"/>
  <c r="U30" i="1"/>
  <c r="U27" i="1"/>
  <c r="U23" i="1"/>
  <c r="U20" i="1"/>
  <c r="U47" i="1"/>
  <c r="U39" i="1"/>
  <c r="U28" i="1"/>
  <c r="U22" i="1"/>
  <c r="U46" i="1"/>
  <c r="U38" i="1"/>
  <c r="U34" i="1"/>
  <c r="U48" i="1"/>
  <c r="U44" i="1"/>
  <c r="U40" i="1"/>
  <c r="U36" i="1"/>
  <c r="U32" i="1"/>
  <c r="U29" i="1"/>
  <c r="U26" i="1"/>
  <c r="U19" i="1"/>
  <c r="U18" i="1"/>
  <c r="U12" i="1"/>
  <c r="U17" i="1"/>
  <c r="U13" i="1"/>
  <c r="U16" i="1"/>
  <c r="U15" i="1"/>
  <c r="U14" i="1"/>
  <c r="U11" i="1"/>
  <c r="J50" i="1"/>
  <c r="J46" i="1"/>
  <c r="J42" i="1"/>
  <c r="J38" i="1"/>
  <c r="J34" i="1"/>
  <c r="J31" i="1"/>
  <c r="J24" i="1"/>
  <c r="J21" i="1"/>
  <c r="J17" i="1"/>
  <c r="J13" i="1"/>
  <c r="J49" i="1"/>
  <c r="J45" i="1"/>
  <c r="J41" i="1"/>
  <c r="J37" i="1"/>
  <c r="J33" i="1"/>
  <c r="J30" i="1"/>
  <c r="J27" i="1"/>
  <c r="J23" i="1"/>
  <c r="J20" i="1"/>
  <c r="J16" i="1"/>
  <c r="J12" i="1"/>
  <c r="J48" i="1"/>
  <c r="J44" i="1"/>
  <c r="J40" i="1"/>
  <c r="J36" i="1"/>
  <c r="J32" i="1"/>
  <c r="J29" i="1"/>
  <c r="J26" i="1"/>
  <c r="J19" i="1"/>
  <c r="J15" i="1"/>
  <c r="J47" i="1"/>
  <c r="J43" i="1"/>
  <c r="J39" i="1"/>
  <c r="J35" i="1"/>
  <c r="J28" i="1"/>
  <c r="J25" i="1"/>
  <c r="J22" i="1"/>
  <c r="J18" i="1"/>
  <c r="J14" i="1"/>
  <c r="J11" i="1"/>
  <c r="I50" i="1"/>
  <c r="I46" i="1"/>
  <c r="I38" i="1"/>
  <c r="I31" i="1"/>
  <c r="I24" i="1"/>
  <c r="I17" i="1"/>
  <c r="I49" i="1"/>
  <c r="I45" i="1"/>
  <c r="I41" i="1"/>
  <c r="I37" i="1"/>
  <c r="I33" i="1"/>
  <c r="I30" i="1"/>
  <c r="I27" i="1"/>
  <c r="I23" i="1"/>
  <c r="I20" i="1"/>
  <c r="I16" i="1"/>
  <c r="I12" i="1"/>
  <c r="I42" i="1"/>
  <c r="I34" i="1"/>
  <c r="I21" i="1"/>
  <c r="I13" i="1"/>
  <c r="I48" i="1"/>
  <c r="I44" i="1"/>
  <c r="I40" i="1"/>
  <c r="I36" i="1"/>
  <c r="I32" i="1"/>
  <c r="I29" i="1"/>
  <c r="I26" i="1"/>
  <c r="I19" i="1"/>
  <c r="I15" i="1"/>
  <c r="I47" i="1"/>
  <c r="I43" i="1"/>
  <c r="I39" i="1"/>
  <c r="I35" i="1"/>
  <c r="I28" i="1"/>
  <c r="I25" i="1"/>
  <c r="I22" i="1"/>
  <c r="I18" i="1"/>
  <c r="I14" i="1"/>
  <c r="I11" i="1"/>
  <c r="J10" i="1"/>
  <c r="A2" i="2"/>
  <c r="B9" i="2" s="1"/>
  <c r="G33" i="11" l="1"/>
  <c r="I33" i="11" s="1"/>
  <c r="B15" i="2"/>
  <c r="B13" i="2"/>
  <c r="B12" i="2"/>
  <c r="B11" i="2"/>
</calcChain>
</file>

<file path=xl/sharedStrings.xml><?xml version="1.0" encoding="utf-8"?>
<sst xmlns="http://schemas.openxmlformats.org/spreadsheetml/2006/main" count="3933" uniqueCount="1218">
  <si>
    <t>TANGGAL SEKARANG</t>
  </si>
  <si>
    <t>TANGGAL</t>
  </si>
  <si>
    <t>UMUR / MASA KERJA</t>
  </si>
  <si>
    <t>TAHUN</t>
  </si>
  <si>
    <t>BULAN</t>
  </si>
  <si>
    <t>HARI</t>
  </si>
  <si>
    <t>TERBILANG</t>
  </si>
  <si>
    <t>PERHITUNGAN MASA KERJA / UMUR PEGAWAI</t>
  </si>
  <si>
    <t>KALKULATOR</t>
  </si>
  <si>
    <t>SEBELUM</t>
  </si>
  <si>
    <t>NILAI</t>
  </si>
  <si>
    <t>&lt;&lt; DISESUAIKAN</t>
  </si>
  <si>
    <t>ADMINISTRASI</t>
  </si>
  <si>
    <t>NO</t>
  </si>
  <si>
    <t>NAMA</t>
  </si>
  <si>
    <t>PENDIDIKAN</t>
  </si>
  <si>
    <t>TEMPAT LAHIR</t>
  </si>
  <si>
    <t>TANGGAL LAHIR</t>
  </si>
  <si>
    <t>KUALIFIKASI PENDIDIKAN</t>
  </si>
  <si>
    <t>NIP</t>
  </si>
  <si>
    <t>GOLONGAN</t>
  </si>
  <si>
    <t>TMT GOLONGAN</t>
  </si>
  <si>
    <t>KARPEG</t>
  </si>
  <si>
    <t>NPWP</t>
  </si>
  <si>
    <t>L/P</t>
  </si>
  <si>
    <t>AGAMA</t>
  </si>
  <si>
    <t>UMUR</t>
  </si>
  <si>
    <t>JABATAN</t>
  </si>
  <si>
    <t>KELAS JABATAN</t>
  </si>
  <si>
    <t>MASA KERJA GOLONGAN</t>
  </si>
  <si>
    <t>MASA KERJA PNS</t>
  </si>
  <si>
    <t>JENIS KELAMIN</t>
  </si>
  <si>
    <t>Kusworo Waluyo, M.Pd.</t>
  </si>
  <si>
    <t>S2</t>
  </si>
  <si>
    <t>Manajemen Pendidikan</t>
  </si>
  <si>
    <t>Samarinda</t>
  </si>
  <si>
    <t>SK. CAPEG</t>
  </si>
  <si>
    <t>IV/b</t>
  </si>
  <si>
    <t>B.08017968</t>
  </si>
  <si>
    <t>L</t>
  </si>
  <si>
    <t>Islam</t>
  </si>
  <si>
    <t>Kepala Bagian Perencanaan, Keuangan, dan Umum</t>
  </si>
  <si>
    <t>TMT JABATAN</t>
  </si>
  <si>
    <t>KEADAAN : APRIL 2024</t>
  </si>
  <si>
    <t>POLITEKNIK PERTANIAN NEGERI SAMARINDA</t>
  </si>
  <si>
    <t>Agus Tajuddin, S.Sos.</t>
  </si>
  <si>
    <t>Joko Karsono, S.Sos.</t>
  </si>
  <si>
    <t>Yoyok Handoyo, S.Sos.</t>
  </si>
  <si>
    <t>Siti Jubaidah, S.Sos.</t>
  </si>
  <si>
    <t>La Halidi, S.Sos.</t>
  </si>
  <si>
    <t>Asrani, S.Sos.</t>
  </si>
  <si>
    <t>Yusnita Sari, S.E.</t>
  </si>
  <si>
    <t>Prima Hanugerah Yudhabarata, S.E.</t>
  </si>
  <si>
    <t>Rosita, S.E.</t>
  </si>
  <si>
    <t>Hermanto, S.E.</t>
  </si>
  <si>
    <t>La Ode Harubi, S.E.</t>
  </si>
  <si>
    <t>Apdulim Rombe Allo, S.E.</t>
  </si>
  <si>
    <t>Agus Susanto, S.E.</t>
  </si>
  <si>
    <t>Haminin, S.P.</t>
  </si>
  <si>
    <t>Suriansyah, S.E.</t>
  </si>
  <si>
    <t>Darius, S.E.</t>
  </si>
  <si>
    <t>Naomi Dendang, A.Md.</t>
  </si>
  <si>
    <t>Sapwan, S.Tr.Kom.</t>
  </si>
  <si>
    <t>Supangat Ependi, S.Tr.Kom.</t>
  </si>
  <si>
    <t>Eddy, S.E.</t>
  </si>
  <si>
    <t>Marna Marthen Rando, S.E., M.M.</t>
  </si>
  <si>
    <t>Hairul Anwar</t>
  </si>
  <si>
    <t>Nasori</t>
  </si>
  <si>
    <t>Siti Amirah</t>
  </si>
  <si>
    <t>Nurhamidah</t>
  </si>
  <si>
    <t>Arief Yani Budiman, S.E.</t>
  </si>
  <si>
    <t>Saria</t>
  </si>
  <si>
    <t>Muliah, S.E.</t>
  </si>
  <si>
    <t>Bena Yuliani, S.E.</t>
  </si>
  <si>
    <t>Sri Murhastuti Wahyu Mardikaninggar, S.E.</t>
  </si>
  <si>
    <t>Nurlita Nisa Handini, S.E.</t>
  </si>
  <si>
    <t>Suriansyah</t>
  </si>
  <si>
    <t>Sudarto, S.S.T.</t>
  </si>
  <si>
    <t>Sisie Karmita, S.S.T.</t>
  </si>
  <si>
    <t>Irwan, A.Md.</t>
  </si>
  <si>
    <t>Elly Lismawati</t>
  </si>
  <si>
    <t>Hasanuddin</t>
  </si>
  <si>
    <t>Fajar Singgih Pangestu, A.Md.AB.</t>
  </si>
  <si>
    <t>Yani Puji Lestari, A.Md.</t>
  </si>
  <si>
    <t>Nur Rizky Annisa, A.Md.A.B.</t>
  </si>
  <si>
    <t>197003151993101002</t>
  </si>
  <si>
    <t>196709061992031003</t>
  </si>
  <si>
    <t>196709291989021001</t>
  </si>
  <si>
    <t>197006051993031001</t>
  </si>
  <si>
    <t>196809051991032001</t>
  </si>
  <si>
    <t>196704041991031003</t>
  </si>
  <si>
    <t>196912311990021002</t>
  </si>
  <si>
    <t>198202032005012001</t>
  </si>
  <si>
    <t>198001122005011001</t>
  </si>
  <si>
    <t>197203081993032001</t>
  </si>
  <si>
    <t>196912111993031001</t>
  </si>
  <si>
    <t>196808051993031006</t>
  </si>
  <si>
    <t>197104251990021001</t>
  </si>
  <si>
    <t>198108072003121002</t>
  </si>
  <si>
    <t>196710152000031002</t>
  </si>
  <si>
    <t>196912121992031001</t>
  </si>
  <si>
    <t>197202081999031009</t>
  </si>
  <si>
    <t>197712162005012004</t>
  </si>
  <si>
    <t>197103101993031001</t>
  </si>
  <si>
    <t>196802011989021001</t>
  </si>
  <si>
    <t>196706121994031003</t>
  </si>
  <si>
    <t>198609122014042001</t>
  </si>
  <si>
    <t>196906031990021001</t>
  </si>
  <si>
    <t>196802281990021001</t>
  </si>
  <si>
    <t>196704161992032001</t>
  </si>
  <si>
    <t>196612231993032002</t>
  </si>
  <si>
    <t>196705031990021002</t>
  </si>
  <si>
    <t>196709101999032002</t>
  </si>
  <si>
    <t>197710031999032001</t>
  </si>
  <si>
    <t>198007252000032002</t>
  </si>
  <si>
    <t>198008162009122001</t>
  </si>
  <si>
    <t>198611292009122006</t>
  </si>
  <si>
    <t>197011102000121001</t>
  </si>
  <si>
    <t>198304252008121002</t>
  </si>
  <si>
    <t>198704272009122004</t>
  </si>
  <si>
    <t>198810112010121006</t>
  </si>
  <si>
    <t>197203312005012002</t>
  </si>
  <si>
    <t>197209032005011002</t>
  </si>
  <si>
    <t>199804112022031004</t>
  </si>
  <si>
    <t>199011102022032009</t>
  </si>
  <si>
    <t>199903192022032006</t>
  </si>
  <si>
    <t>S1</t>
  </si>
  <si>
    <t>Ilmu Pemerintahan</t>
  </si>
  <si>
    <t>Ilmu Administrasi Negara</t>
  </si>
  <si>
    <t>Administrasi Negara</t>
  </si>
  <si>
    <t>Akuntansi</t>
  </si>
  <si>
    <t>Manajemen</t>
  </si>
  <si>
    <t>Agroteknologi</t>
  </si>
  <si>
    <t>D3</t>
  </si>
  <si>
    <t>Manajemen Informatika</t>
  </si>
  <si>
    <t>Teknologi Rekayasa Perangkat Lunak</t>
  </si>
  <si>
    <t>D4</t>
  </si>
  <si>
    <t>Ilmu Ekonomi kons. Ekonomika Korpirasi</t>
  </si>
  <si>
    <t>SMA</t>
  </si>
  <si>
    <t>Ilmu-ilmu Sosial</t>
  </si>
  <si>
    <t>SMEA</t>
  </si>
  <si>
    <t>Perkantoran</t>
  </si>
  <si>
    <t>Tata Buku</t>
  </si>
  <si>
    <t>Ilmu-ilmu Fisik</t>
  </si>
  <si>
    <t>SMU</t>
  </si>
  <si>
    <t>IPA</t>
  </si>
  <si>
    <t>Sains Terapan</t>
  </si>
  <si>
    <t>Budidaya Tanaman Perkebunan</t>
  </si>
  <si>
    <t>Fisika</t>
  </si>
  <si>
    <t>Administrasi Perkantoran</t>
  </si>
  <si>
    <t>Administrasi Bisnis</t>
  </si>
  <si>
    <t>Surabaya</t>
  </si>
  <si>
    <t>Bone</t>
  </si>
  <si>
    <t>Nganjuk</t>
  </si>
  <si>
    <t>Muara Jawa</t>
  </si>
  <si>
    <t>Kutai</t>
  </si>
  <si>
    <t>Kombeli</t>
  </si>
  <si>
    <t>Muara Muntai</t>
  </si>
  <si>
    <t>Kutai Timur</t>
  </si>
  <si>
    <t>Poogalampa</t>
  </si>
  <si>
    <t>Jakarta</t>
  </si>
  <si>
    <t>Aceh Utara</t>
  </si>
  <si>
    <t>Wajo</t>
  </si>
  <si>
    <t>Buton</t>
  </si>
  <si>
    <t>Luwu</t>
  </si>
  <si>
    <t>Magelang</t>
  </si>
  <si>
    <t>Kutai Kartanegara</t>
  </si>
  <si>
    <t>Cilacap</t>
  </si>
  <si>
    <t>Magetan</t>
  </si>
  <si>
    <t>Pelajau Hilir</t>
  </si>
  <si>
    <t>Bau-Bau</t>
  </si>
  <si>
    <t>Balikpapan</t>
  </si>
  <si>
    <t>Bajoe</t>
  </si>
  <si>
    <t>Klaten</t>
  </si>
  <si>
    <t>Sangkulirang</t>
  </si>
  <si>
    <t>Banyuwangi</t>
  </si>
  <si>
    <t>Purbalingga</t>
  </si>
  <si>
    <t>IV/a</t>
  </si>
  <si>
    <t>III/d</t>
  </si>
  <si>
    <t>III/c</t>
  </si>
  <si>
    <t>III/b</t>
  </si>
  <si>
    <t>III/a</t>
  </si>
  <si>
    <t>II/c</t>
  </si>
  <si>
    <t>F.333439</t>
  </si>
  <si>
    <t>E.743435</t>
  </si>
  <si>
    <t>G.035797</t>
  </si>
  <si>
    <t>F.209926</t>
  </si>
  <si>
    <t>F.209924</t>
  </si>
  <si>
    <t>E.883477</t>
  </si>
  <si>
    <t>M.065059</t>
  </si>
  <si>
    <t>G.035800</t>
  </si>
  <si>
    <t>G.035796</t>
  </si>
  <si>
    <t>E.883464</t>
  </si>
  <si>
    <t>M.065060</t>
  </si>
  <si>
    <t>G.035804</t>
  </si>
  <si>
    <t>M.009360</t>
  </si>
  <si>
    <t>J.019141</t>
  </si>
  <si>
    <t>F.333442</t>
  </si>
  <si>
    <t>J.061822</t>
  </si>
  <si>
    <t>M.065067</t>
  </si>
  <si>
    <t>G.035799</t>
  </si>
  <si>
    <t>E.743436</t>
  </si>
  <si>
    <t>G.197462</t>
  </si>
  <si>
    <t>B.08001394</t>
  </si>
  <si>
    <t>E.883472</t>
  </si>
  <si>
    <t>E.883476</t>
  </si>
  <si>
    <t>F.333435</t>
  </si>
  <si>
    <t>G.035806</t>
  </si>
  <si>
    <t>J.061821</t>
  </si>
  <si>
    <t>J.061820</t>
  </si>
  <si>
    <t>J.108769</t>
  </si>
  <si>
    <t>P.545057</t>
  </si>
  <si>
    <t>P.536246</t>
  </si>
  <si>
    <t>J.068714</t>
  </si>
  <si>
    <t>P.532929</t>
  </si>
  <si>
    <t>Q.244807</t>
  </si>
  <si>
    <t>Q.244800</t>
  </si>
  <si>
    <t>M.065084</t>
  </si>
  <si>
    <t>M.065066</t>
  </si>
  <si>
    <t>Kristen</t>
  </si>
  <si>
    <t>P</t>
  </si>
  <si>
    <t>Penbembang Teknologi Pembelajaran Ahli Madya</t>
  </si>
  <si>
    <t>Analisis Anggaran Ahli Muda</t>
  </si>
  <si>
    <t>Kepala Bagian Akademik, KemahaSiswaan Dan Kerjasama</t>
  </si>
  <si>
    <t>Pengelola Informasi Akademik</t>
  </si>
  <si>
    <t>Analisis Kebijakan Barang Milik Negara</t>
  </si>
  <si>
    <t>Kepala Subbagian Akademik,Bagian Akademik, Kemahasiswaan Dan Kerja Sama</t>
  </si>
  <si>
    <t xml:space="preserve">Penyusun Program Pengembangan Kemahasiswaan </t>
  </si>
  <si>
    <t>Pengadministrasi Akademik</t>
  </si>
  <si>
    <t>Penyusun Program, Anggaran, Dan Laporan</t>
  </si>
  <si>
    <t>Analisis Sumber Daya Manusia Aparatur</t>
  </si>
  <si>
    <t>Pengadministrasi Sarana Dan Prasarana</t>
  </si>
  <si>
    <t xml:space="preserve">Pengadministrasi Keuangan </t>
  </si>
  <si>
    <t>Pengadministrasi Umum</t>
  </si>
  <si>
    <t>Pengadministrasi Kepegawaian</t>
  </si>
  <si>
    <t>Kepala Subbagian Umum, Bagian Perencanaan, Keuangan dan Umum</t>
  </si>
  <si>
    <t>Pengadministrasi Persuratan</t>
  </si>
  <si>
    <t>Bendahara</t>
  </si>
  <si>
    <t>Pengelola Barang Milik Negara</t>
  </si>
  <si>
    <t>Pengolah Data Pelaksanaan Perogram dan Anggaran</t>
  </si>
  <si>
    <t>Pengelola Sistem Informasi</t>
  </si>
  <si>
    <t>Pengelola Kepegawaian</t>
  </si>
  <si>
    <t>Pengelola Database Surat Perintah Membayar</t>
  </si>
  <si>
    <t>Pengelola Data Mutu Pendidikan</t>
  </si>
  <si>
    <t>PUSTAKAWAN</t>
  </si>
  <si>
    <t>Yunus, S.Sos</t>
  </si>
  <si>
    <t>Riris Wahyu Prihatin, A.Md</t>
  </si>
  <si>
    <t>Jibril Pribadi, S.I.Pus</t>
  </si>
  <si>
    <t>Ilmu komunikasi</t>
  </si>
  <si>
    <t xml:space="preserve">Perpustakaan </t>
  </si>
  <si>
    <t>Ilmu Perpustakaan</t>
  </si>
  <si>
    <t>lajoa</t>
  </si>
  <si>
    <t>Blora</t>
  </si>
  <si>
    <t>197409282002122002</t>
  </si>
  <si>
    <t>199312122019031015</t>
  </si>
  <si>
    <t>K.006467</t>
  </si>
  <si>
    <t>L.110232</t>
  </si>
  <si>
    <t>B.00074876</t>
  </si>
  <si>
    <t>JABATAN FUNGSIONAL</t>
  </si>
  <si>
    <t>Pustakawan Ahli Muda</t>
  </si>
  <si>
    <t>Pustakawan Penyelia</t>
  </si>
  <si>
    <t>Pranata Laboratorium Pendidikan</t>
  </si>
  <si>
    <t>JURUSAN : LINGKUNGAN DAN KEHUTANAN</t>
  </si>
  <si>
    <t>PROGRAM STUDI : PENGOLAHAN HASIL HUTAN (PHH) D.III</t>
  </si>
  <si>
    <t>Atak Sumedi, S.P., M.P.</t>
  </si>
  <si>
    <t>Jembawan, S.Hut.</t>
  </si>
  <si>
    <t>Kuddus</t>
  </si>
  <si>
    <t>Alfrida, S.E.</t>
  </si>
  <si>
    <t>SATYA LANCANA</t>
  </si>
  <si>
    <t>NAMA PRODI DAN JURUSAN</t>
  </si>
  <si>
    <t>JURUSAN LINGKUNGAN DAN KEHUTANAN</t>
  </si>
  <si>
    <t>PRODI. PENGOLAHAN HASIL HUTAN (PHH)</t>
  </si>
  <si>
    <t>PRODI. REKAYASA KAYU (RK)</t>
  </si>
  <si>
    <t>PRODI. PENGELOLAAN HUTAN (PH)</t>
  </si>
  <si>
    <t>PRODI. PENGELOLAAN LINGKUNGAN (PL)</t>
  </si>
  <si>
    <t>JURUSAN PERTANIAN</t>
  </si>
  <si>
    <t>PRODI. TEKNOLOGI REKAYASA PENGENDALIAN PENCEMARAN LINGKUNGAN</t>
  </si>
  <si>
    <t>PRODI. BUDIDAYA TANAMAN PERKEBUNAN (BTP)</t>
  </si>
  <si>
    <t>PRODI. TEKNOLOGI HASIL PERKEBUNAN (THP)</t>
  </si>
  <si>
    <t>PRODI. PENGELOLAAN PERKEBUNAN (PP)</t>
  </si>
  <si>
    <t>PRODI. TEKNOLOGI PRODUKSI TANAMAN PANGAN (TPTP)</t>
  </si>
  <si>
    <t>JURUSAN REKAYASA DAN KOMPUTER</t>
  </si>
  <si>
    <t>PRODI. TEKNOLOGI GEOMATIKA (TG)</t>
  </si>
  <si>
    <t>PRODI. TEKNOLOGI REKAYASA PERANGKAT LUNAK (TRPL)</t>
  </si>
  <si>
    <t>PRODI. TEKNOLOGI REKAYASA GEOMATIKA DAN SURVEI (TRGS)</t>
  </si>
  <si>
    <t>PRODI. SISTEM INFORMASI AKUNTANSI</t>
  </si>
  <si>
    <t>DIII</t>
  </si>
  <si>
    <t>DIV</t>
  </si>
  <si>
    <t>Miswansyah</t>
  </si>
  <si>
    <t>Wagiman, S.P.</t>
  </si>
  <si>
    <t>Ratnawati, S.Hut.</t>
  </si>
  <si>
    <t>Dodi Sukma Rahadiyanto, S.T.</t>
  </si>
  <si>
    <t>Suryadi, A.Md.</t>
  </si>
  <si>
    <t>Dedy Kurniawan, A.Md.</t>
  </si>
  <si>
    <t>Emillia Fachdiana, A.Md.</t>
  </si>
  <si>
    <t>196509201989021002</t>
  </si>
  <si>
    <t>196705281989021001</t>
  </si>
  <si>
    <t>196611121991031005</t>
  </si>
  <si>
    <t>197006261992031001</t>
  </si>
  <si>
    <t>196703051989022001</t>
  </si>
  <si>
    <t>197512131995121001</t>
  </si>
  <si>
    <t>196802291990021001</t>
  </si>
  <si>
    <t>197004171994032001</t>
  </si>
  <si>
    <t>196712161991031001</t>
  </si>
  <si>
    <t>197108121998022001</t>
  </si>
  <si>
    <t>198507272020121003</t>
  </si>
  <si>
    <t>STM</t>
  </si>
  <si>
    <t>Ilmu Kehutanan</t>
  </si>
  <si>
    <t>Agronomi</t>
  </si>
  <si>
    <t>Kehutanan</t>
  </si>
  <si>
    <t>Bangunan</t>
  </si>
  <si>
    <t>Teknologi Hasil Hutan</t>
  </si>
  <si>
    <t>Ilmu-ilmu Biologi</t>
  </si>
  <si>
    <t>Pengolahan Hasil Hutan</t>
  </si>
  <si>
    <t>Manajemen Hutan</t>
  </si>
  <si>
    <t>Desain Produk Industri</t>
  </si>
  <si>
    <t>Kunduran</t>
  </si>
  <si>
    <t>Polewali Mamasa</t>
  </si>
  <si>
    <t>Kediri</t>
  </si>
  <si>
    <t>Tanah Grogot</t>
  </si>
  <si>
    <t>Bantul</t>
  </si>
  <si>
    <t>Tenggarong Sebrang</t>
  </si>
  <si>
    <t>Probolinggo</t>
  </si>
  <si>
    <t>E.743495</t>
  </si>
  <si>
    <t>E.743497</t>
  </si>
  <si>
    <t>F.209929</t>
  </si>
  <si>
    <t>F.333434</t>
  </si>
  <si>
    <t>E.743494</t>
  </si>
  <si>
    <t>G.326226</t>
  </si>
  <si>
    <t>E.883459</t>
  </si>
  <si>
    <t>G.197461</t>
  </si>
  <si>
    <t>F.209927</t>
  </si>
  <si>
    <t>G.035809</t>
  </si>
  <si>
    <t>PLP.</t>
  </si>
  <si>
    <t>Madya</t>
  </si>
  <si>
    <t>Muda</t>
  </si>
  <si>
    <t>Penyelia</t>
  </si>
  <si>
    <t>Pertama</t>
  </si>
  <si>
    <t>PROGRAM STUDI : PENGELOLAAN HUTAN (PH) D.III</t>
  </si>
  <si>
    <t>Dadang Ruchyat, S.P.</t>
  </si>
  <si>
    <t>Syarifuddin</t>
  </si>
  <si>
    <t>196610201992031002</t>
  </si>
  <si>
    <t>196610091991031003</t>
  </si>
  <si>
    <t>196710071990021001</t>
  </si>
  <si>
    <t>Dominikus Damat, S.P.</t>
  </si>
  <si>
    <t>Abdul Kadir Jailani, A.Md.</t>
  </si>
  <si>
    <t>Hj. Siti Fatimah, A.Md.</t>
  </si>
  <si>
    <t>Rusdiana Ningsih, A.Md.</t>
  </si>
  <si>
    <t>Mohammad Zulfi Ilham, A.Md.</t>
  </si>
  <si>
    <t>Eriansyah, S.Hut.</t>
  </si>
  <si>
    <t>Yuniar Artati, S.Hut.</t>
  </si>
  <si>
    <t>196710281989022001</t>
  </si>
  <si>
    <t>197309301993032001</t>
  </si>
  <si>
    <t>197004291991031002</t>
  </si>
  <si>
    <t>197203311999031001</t>
  </si>
  <si>
    <t>197011011991031002</t>
  </si>
  <si>
    <t>197608222014072001</t>
  </si>
  <si>
    <t>198507032019032014</t>
  </si>
  <si>
    <t>SPMA</t>
  </si>
  <si>
    <t>Budidaya Pertanian</t>
  </si>
  <si>
    <t>Tanaman Pangan Dan Hortikultura</t>
  </si>
  <si>
    <t xml:space="preserve">Teknik Kimia </t>
  </si>
  <si>
    <t>Budidaya Hutan</t>
  </si>
  <si>
    <t>Bogor</t>
  </si>
  <si>
    <t>Flores</t>
  </si>
  <si>
    <t>Kutai Barat</t>
  </si>
  <si>
    <t>Long Iram</t>
  </si>
  <si>
    <t>Tering</t>
  </si>
  <si>
    <t>Muara Baroh</t>
  </si>
  <si>
    <t>Palopo</t>
  </si>
  <si>
    <t>Bandung Barat</t>
  </si>
  <si>
    <t>F.3334437</t>
  </si>
  <si>
    <t>F.209809</t>
  </si>
  <si>
    <t>E.883491</t>
  </si>
  <si>
    <t>E.883454</t>
  </si>
  <si>
    <t>E.743460</t>
  </si>
  <si>
    <t>G.035805</t>
  </si>
  <si>
    <t>F.209895</t>
  </si>
  <si>
    <t>J.018046</t>
  </si>
  <si>
    <t>F.209889</t>
  </si>
  <si>
    <t>A.04010370</t>
  </si>
  <si>
    <t>B.00074878</t>
  </si>
  <si>
    <t>PROGRAM STUDI : PENGELOLAAN LINGKUNGAN (PL) D.III</t>
  </si>
  <si>
    <t>Joko Triyono, S.Kel.</t>
  </si>
  <si>
    <t>Estu Pangaribowo, A.Md.</t>
  </si>
  <si>
    <t>Rusli Wahyuni, A.Md.</t>
  </si>
  <si>
    <t>198110102014041001</t>
  </si>
  <si>
    <t>198201232010121003</t>
  </si>
  <si>
    <t>198205102010121005</t>
  </si>
  <si>
    <t>Ilmu Kelautan</t>
  </si>
  <si>
    <t>Pati</t>
  </si>
  <si>
    <t>PROGRAM STUDI : TEKNOLOGI HASIL PERKEBUNAN (THP) D.III</t>
  </si>
  <si>
    <t>Supriono, S.P.</t>
  </si>
  <si>
    <t>Theresia Adi Susanti, S.P.</t>
  </si>
  <si>
    <t>Dody Purwanto, S.P.</t>
  </si>
  <si>
    <t>Silvia Darmans, S.P.</t>
  </si>
  <si>
    <t>Yuliana Sabarina Lewar, S.TP.</t>
  </si>
  <si>
    <t>Rindawati, S.Hut.</t>
  </si>
  <si>
    <t>198201012003121003</t>
  </si>
  <si>
    <t>198205162005012001</t>
  </si>
  <si>
    <t>197801012003121004</t>
  </si>
  <si>
    <t>198305142005012006</t>
  </si>
  <si>
    <t>199004012019032026</t>
  </si>
  <si>
    <t>198701142009122006</t>
  </si>
  <si>
    <t>Pertanian</t>
  </si>
  <si>
    <t>Teknologi Hasil Pertanian</t>
  </si>
  <si>
    <t>Tenggarong</t>
  </si>
  <si>
    <t>Kota Kinabalu</t>
  </si>
  <si>
    <t>Loajanan Ilir</t>
  </si>
  <si>
    <t>PROGRAM STUDI : BUDIDAYA TANAMAN PERKEBUNAN (BTP) D.III</t>
  </si>
  <si>
    <t>Mundjanah, S.P.</t>
  </si>
  <si>
    <t>Hery Supeno, S.P.</t>
  </si>
  <si>
    <t>Rusdi, S.P.</t>
  </si>
  <si>
    <t>Sopian Agus, A.Md.</t>
  </si>
  <si>
    <t>Doddy Prima, S.P.</t>
  </si>
  <si>
    <t>Ariusmiati, S.P.</t>
  </si>
  <si>
    <t>Syafruddin Ibrahim, A.Md.</t>
  </si>
  <si>
    <t>Ahmad Taufik, S.P.</t>
  </si>
  <si>
    <t>196907092002122001</t>
  </si>
  <si>
    <t>197306082000121001</t>
  </si>
  <si>
    <t>197003172005011002</t>
  </si>
  <si>
    <t>198603282009121009</t>
  </si>
  <si>
    <t>197408012000032002</t>
  </si>
  <si>
    <t>197806182005011002</t>
  </si>
  <si>
    <t>198005292010121002</t>
  </si>
  <si>
    <t>Pengelolaan Hutan</t>
  </si>
  <si>
    <t>Konservasi Sumberdaya Hutan</t>
  </si>
  <si>
    <t>Muara Kaman</t>
  </si>
  <si>
    <t>Loa Kulu</t>
  </si>
  <si>
    <t>Bondowoso</t>
  </si>
  <si>
    <t>M.009359</t>
  </si>
  <si>
    <t>M.065065</t>
  </si>
  <si>
    <t>M.009358</t>
  </si>
  <si>
    <t>M.065068</t>
  </si>
  <si>
    <t>B.00074877</t>
  </si>
  <si>
    <t>P.540996</t>
  </si>
  <si>
    <t>B.08001388</t>
  </si>
  <si>
    <t>Q.244795</t>
  </si>
  <si>
    <t>Q.244799</t>
  </si>
  <si>
    <t>L.110231</t>
  </si>
  <si>
    <t>J.068715</t>
  </si>
  <si>
    <t>M.065061</t>
  </si>
  <si>
    <t>J.019140</t>
  </si>
  <si>
    <t>P.540994</t>
  </si>
  <si>
    <t>J.019139</t>
  </si>
  <si>
    <t>M.065063</t>
  </si>
  <si>
    <t>Q.244797</t>
  </si>
  <si>
    <t>Sri Marlendi, A.Md</t>
  </si>
  <si>
    <t>198209182014042001</t>
  </si>
  <si>
    <t>PROGRAM STUDI : TEKNOLOGI GEOMATIKA (TG) D.III</t>
  </si>
  <si>
    <t>Kuswantoro, S.T.</t>
  </si>
  <si>
    <t>Haryo Wicaksono, S.T.</t>
  </si>
  <si>
    <t>Lili Suriani, A.Md.</t>
  </si>
  <si>
    <t>197810122009121002</t>
  </si>
  <si>
    <t>198612012009122003</t>
  </si>
  <si>
    <t>199602062019031006</t>
  </si>
  <si>
    <t>Teknik Geodesi</t>
  </si>
  <si>
    <t>Teknik Sipil</t>
  </si>
  <si>
    <t>Teknik Geomatika</t>
  </si>
  <si>
    <t>Langae, Enrekang</t>
  </si>
  <si>
    <t>Q.244806</t>
  </si>
  <si>
    <t>P.545056</t>
  </si>
  <si>
    <t>B.00074875</t>
  </si>
  <si>
    <t>PROGRAM STUDI : TEKNOLOGI REKAYASA PERANGKAT LUNAK (TRPL) D.IV</t>
  </si>
  <si>
    <t>Nur Aini, S.Kom.</t>
  </si>
  <si>
    <t>Lisnawati, A.Md.</t>
  </si>
  <si>
    <t>199111292019032020</t>
  </si>
  <si>
    <t>198605162009122006</t>
  </si>
  <si>
    <t>Ilmu Komputer</t>
  </si>
  <si>
    <t>Teknologi Informasi</t>
  </si>
  <si>
    <t>Batulicin</t>
  </si>
  <si>
    <t>B.00074879</t>
  </si>
  <si>
    <t>P.540995</t>
  </si>
  <si>
    <t>DOSEN</t>
  </si>
  <si>
    <t>Ir. Wartomo, M.P.</t>
  </si>
  <si>
    <t>Dr. M. Fikri Hernandi, S.Hut., M.P.</t>
  </si>
  <si>
    <t>Dr. Erina Hertianti, S.Hut., M.P.</t>
  </si>
  <si>
    <t>Dr. Heriad Daud Salusu, S.Hut., M.P.</t>
  </si>
  <si>
    <t>Ir. Joko Prayitno, M.P.</t>
  </si>
  <si>
    <t>Ir. Andi Yusuf, M.P.</t>
  </si>
  <si>
    <t>Nur Maulida Sari, S.Hut., M.P.</t>
  </si>
  <si>
    <t>Ir. M. Masrudy, M.P.</t>
  </si>
  <si>
    <t>Ir. Hasanudin, M.P.</t>
  </si>
  <si>
    <t>Dr. Ir. H. Suwarto, M.P.</t>
  </si>
  <si>
    <t>Ir. M. Fadjeri, M.P.</t>
  </si>
  <si>
    <t>Ir. Herijanto Thamrin, M.P.</t>
  </si>
  <si>
    <t>Ir. Emi Malaysia, M.P.</t>
  </si>
  <si>
    <t>Rudi Djatmiko, S.Hut., M.P.</t>
  </si>
  <si>
    <t>Dr. Elisa Herawati, S.Hut., M.P.</t>
  </si>
  <si>
    <t>Dr. Erna Rositah, S.Hut., M.P.</t>
  </si>
  <si>
    <t>Dwinita Aquastini, S.Hut., M.P.</t>
  </si>
  <si>
    <t>Ir. Sofyan Bulkis, M.P.</t>
  </si>
  <si>
    <t>Ir. Noorhamsyah, M.P.</t>
  </si>
  <si>
    <t>Agustina Murniyati, S.Hut., M.P.</t>
  </si>
  <si>
    <t>Adelia Juli Kardika, S.Hut., M.Si.</t>
  </si>
  <si>
    <t>Laode Muh Asdiq Hamsin Ramadan, M.Si.</t>
  </si>
  <si>
    <t>Kiamah Fathirizki Agsa Kamarati, S.Hut., M.Hut.</t>
  </si>
  <si>
    <t>Fachruddin Azwari, S.T., M.Si.</t>
  </si>
  <si>
    <t>Dr. Taufiq Rinda Alkas, S.Si., M.Pd.</t>
  </si>
  <si>
    <t>Kemala Hadidjah, S.T., M.Si.</t>
  </si>
  <si>
    <t>Dr. Martha Ekawati Siahaya, S.Hut., M.P.</t>
  </si>
  <si>
    <t>Haryatie Sarie, S.P., M.P.</t>
  </si>
  <si>
    <t>Nuzula Elfa Rahma, S.P., M.Sc.</t>
  </si>
  <si>
    <t>Adi Supriadi, S.Hut., M.Si.</t>
  </si>
  <si>
    <t>Arini Rajab, S.Si., M.Si.</t>
  </si>
  <si>
    <t>Wardatul Hidayah, S.Si., M.Si.</t>
  </si>
  <si>
    <t>Diepa Febriana Wulandari, S.Pd., M.Sc.</t>
  </si>
  <si>
    <t>PROGRAM STUDI : REKAYASA KAYU (RK) D.IV</t>
  </si>
  <si>
    <t>Dr. Ir. Syafi'I, M.P.</t>
  </si>
  <si>
    <t>Dr. Ir. H. Taman Alex, M.P.</t>
  </si>
  <si>
    <t>Eva Nurmarini, S.Hut., M.P.</t>
  </si>
  <si>
    <t>Ir. Yusdiansyah, M.P.</t>
  </si>
  <si>
    <t>Dr. Abdul Rasyid Zarta, S.Hut., M.P.</t>
  </si>
  <si>
    <t>Dr. Ita Merni Patulak, S.E., M.M.</t>
  </si>
  <si>
    <t>Muhammad Tahrir, S.T., M.T.</t>
  </si>
  <si>
    <t>Teguh Rizali Zahroni, S.Pd., M.Sc.</t>
  </si>
  <si>
    <t>Zahrotul Isti'Anah Marroh, M.Pd.</t>
  </si>
  <si>
    <t>PROGRAM STUDI : TEKNOLOGI REKAYASA PENGENDALIAN PENCEMARAN LINGKUNGAN D.IV</t>
  </si>
  <si>
    <t>Christine Elia Benedicta, S.Hut., M.Ling.</t>
  </si>
  <si>
    <t>Dr. Edy Wibowo Kurniawan, S.T.P., M.Sc.</t>
  </si>
  <si>
    <t>Dr. Rudito, S.TP., M.P.</t>
  </si>
  <si>
    <t>Muh. Yamin, S.TP., M.Si.</t>
  </si>
  <si>
    <t>Anis Syauqi, S.TP., M.Sc.</t>
  </si>
  <si>
    <t>Dr. Andi Lisnawati, S.P., M.Si.</t>
  </si>
  <si>
    <t>Mujibu Rahman, S.TP., M.Si.</t>
  </si>
  <si>
    <t>Elisa Ginsel Popang, S.TP., M.Sc.</t>
  </si>
  <si>
    <t>Hamka, S.TP., M.Sc., M.P.</t>
  </si>
  <si>
    <t>Netty Maria Naibaho, S.TP., M.Sc., M.P.</t>
  </si>
  <si>
    <t>Farida Aryani, S.Hut., M.P.</t>
  </si>
  <si>
    <t>Dr. Ahmad Zamroni, S.Hut., M.P.</t>
  </si>
  <si>
    <t>M. Atta Bary, S.P., M.Si.</t>
  </si>
  <si>
    <t>Mika Debora Br Barus, S.Pd., M.Si.</t>
  </si>
  <si>
    <t>Adnan Putra Pratama, S.P., M.Sc.</t>
  </si>
  <si>
    <t>Nur Hidayat, S.P., M.Sc.</t>
  </si>
  <si>
    <t>Faradilla, S.P., M.Sc.</t>
  </si>
  <si>
    <t>Riama Rita Manullang, S.P., M.P.</t>
  </si>
  <si>
    <t>F. Silvi Dwi Mentari, S.Hut., M.P.</t>
  </si>
  <si>
    <t>Yuanita, S.P., M.P.</t>
  </si>
  <si>
    <t>Roby, S.P., M.P.</t>
  </si>
  <si>
    <t>Rusmini, S.P., M.P.</t>
  </si>
  <si>
    <t>Daryono, S.P., M.P.</t>
  </si>
  <si>
    <t>La Mudi, S.P., M.P.</t>
  </si>
  <si>
    <t>Zainal Abidin, S.ST., M.P.</t>
  </si>
  <si>
    <t>PROGRAM STUDI : PENGELOLAAN PERKEBUNAN (PP) D.IV</t>
  </si>
  <si>
    <t>Dr. Ir. Budi Winarni, M.Si.</t>
  </si>
  <si>
    <t>Sri Ngapiyatun, S.P., M.P.</t>
  </si>
  <si>
    <t>Jamaluddin, S.P., M.Si.</t>
  </si>
  <si>
    <t>Dr. Rusli Anwar, S.P., M.Si.</t>
  </si>
  <si>
    <t>Ernita Obeth, M.Agribus., Ph.D.</t>
  </si>
  <si>
    <t>Dr. Sukariyan, S.Hut., M.P.</t>
  </si>
  <si>
    <t>Puspita, S.E., M.Pd.</t>
  </si>
  <si>
    <t>Rossy Mirasari, S.P., M.P.</t>
  </si>
  <si>
    <t>Humairo Aziza, S.Hut., M.P.</t>
  </si>
  <si>
    <t>Arief Rahman, S.P., M.Sc.</t>
  </si>
  <si>
    <t>Wike Pratiwi, S.E., M.Akun.</t>
  </si>
  <si>
    <t>Muhamad Yazid Bustomi, S.P., M.Sc.</t>
  </si>
  <si>
    <t>Andi Lelanovita Sardianti, S.P., M.M.</t>
  </si>
  <si>
    <t>Fahrizal, S.P., M.P.</t>
  </si>
  <si>
    <t>PROGRAM STUDI : TEKNOLOGI PRODUKSI TANAMAN PANGAN (TPTP) D.IV</t>
  </si>
  <si>
    <t>Dr. Ir. Suparjo, M.P.</t>
  </si>
  <si>
    <t>Dyah Widyasasi, S.Hut., M.P.</t>
  </si>
  <si>
    <t>Dr. Ahmad Aris Mundir Sutaji, S.Pd., M.Pd.</t>
  </si>
  <si>
    <t>Andrew Stefano, M.T.</t>
  </si>
  <si>
    <t>Dwi Agung Pramono, S.Hut., M.T.</t>
  </si>
  <si>
    <t>F.V. Astrolabe Sian Prasetya, S.T., M.T.</t>
  </si>
  <si>
    <t>Nia Kurniadin, S.Pd., M.T.</t>
  </si>
  <si>
    <t>Dawamul Arifin, S.T., M.T.</t>
  </si>
  <si>
    <t>Radik Khairil Insanu, S.T., M.T.</t>
  </si>
  <si>
    <t>Feri Fadlin, M.Sc.</t>
  </si>
  <si>
    <t>Shabri Indra Suryalfihra, S.Kom., M.T.</t>
  </si>
  <si>
    <t>Romansah Wumu, S.Pd., M.T.</t>
  </si>
  <si>
    <t>A Arifin Itsnani S M, S.Si., M.T.</t>
  </si>
  <si>
    <t>Andi Baso Sofyan A. Pabolloi, S.Pd., M.Sc.</t>
  </si>
  <si>
    <t>Dr. Suswanto, M.Pd.</t>
  </si>
  <si>
    <t>Budi Rachmadani, M.Pd.</t>
  </si>
  <si>
    <t>Husmul Beze, S.Hut., M.Si.</t>
  </si>
  <si>
    <t>Yulianto, S.Kom., M.MT.</t>
  </si>
  <si>
    <t>Eny Maria, M.Cs.</t>
  </si>
  <si>
    <t>Eko Junirianto, S.Kom., M.Cs.</t>
  </si>
  <si>
    <t>Muslimin B, S.Kom., M.Cs.</t>
  </si>
  <si>
    <t>Reza Andrea, S.Kom., M.Kom.</t>
  </si>
  <si>
    <t>Suci Ramadhani, S.Kom., M.Kom.</t>
  </si>
  <si>
    <t>Annafi' Franz, S.Kom., M.Kom.</t>
  </si>
  <si>
    <t>Ida Maratul Khamidah, S.Kom., M.Cs.</t>
  </si>
  <si>
    <t>Emil Riza Putra, S.Kom., S.E., M.Kom.</t>
  </si>
  <si>
    <t>Syafei Karim, S.Kom., M.Kom.</t>
  </si>
  <si>
    <t>Asep Nurhuda, S.Kom., M.Kom.</t>
  </si>
  <si>
    <t>Bagus Satria, S.Kom., M.Kom.</t>
  </si>
  <si>
    <t>Fajar Ramadhani, S.Kom., M.Kom.</t>
  </si>
  <si>
    <t>Imron, S.Pd., M.Eng.</t>
  </si>
  <si>
    <t>PROGRAM STUDI : TEKNOLOGI REKAYASA GEOMATIKA DAN SURVEI (TRGS) D.IV</t>
  </si>
  <si>
    <t>Risna Nona, S.E., M.Si.</t>
  </si>
  <si>
    <t>PROGRAM STUDI : SISTEM INFORMASI AKUNTANSI (SIA) D.III</t>
  </si>
  <si>
    <t>196008051988031003</t>
  </si>
  <si>
    <t>196308051989031005</t>
  </si>
  <si>
    <t>196410101992031003</t>
  </si>
  <si>
    <t>196108121988031003</t>
  </si>
  <si>
    <t>196211071989031015</t>
  </si>
  <si>
    <t>196501011992032002</t>
  </si>
  <si>
    <t>197009151995121001</t>
  </si>
  <si>
    <t>197103051995122001</t>
  </si>
  <si>
    <t>197311281999032001</t>
  </si>
  <si>
    <t>197002141997032002</t>
  </si>
  <si>
    <t>196003211989031002</t>
  </si>
  <si>
    <t>196405231997031001</t>
  </si>
  <si>
    <t>197208031998022001</t>
  </si>
  <si>
    <t>199207142019032023</t>
  </si>
  <si>
    <t>198904112022031009</t>
  </si>
  <si>
    <t>199310082022032011</t>
  </si>
  <si>
    <t>196310281988031003</t>
  </si>
  <si>
    <t>197011271998021001</t>
  </si>
  <si>
    <t>197005031995122002</t>
  </si>
  <si>
    <t>197008301997031001</t>
  </si>
  <si>
    <t>196607041992031005</t>
  </si>
  <si>
    <t>196210221988031001</t>
  </si>
  <si>
    <t>198909092019032024</t>
  </si>
  <si>
    <t>197505212008121001</t>
  </si>
  <si>
    <t>198207132014042001</t>
  </si>
  <si>
    <t>199410312022032015</t>
  </si>
  <si>
    <t>199402192022032024</t>
  </si>
  <si>
    <t>196806101995121001</t>
  </si>
  <si>
    <t>196012121989031008</t>
  </si>
  <si>
    <t>197508081999032002</t>
  </si>
  <si>
    <t>195912161989031002</t>
  </si>
  <si>
    <t>197508271999031001</t>
  </si>
  <si>
    <t>197205252002122010</t>
  </si>
  <si>
    <t>198910262022031006</t>
  </si>
  <si>
    <t>198804092023211017</t>
  </si>
  <si>
    <t>199207052023212053</t>
  </si>
  <si>
    <t>S3</t>
  </si>
  <si>
    <t>198307182010122004</t>
  </si>
  <si>
    <t>197211072003122001</t>
  </si>
  <si>
    <t>198809122014042002</t>
  </si>
  <si>
    <t>197510072008121001</t>
  </si>
  <si>
    <t>Banjarmasin</t>
  </si>
  <si>
    <t>Banyumas</t>
  </si>
  <si>
    <t>Nunukan</t>
  </si>
  <si>
    <t>Pemangkat</t>
  </si>
  <si>
    <t>Sesayap</t>
  </si>
  <si>
    <t>Bandung</t>
  </si>
  <si>
    <t>Senyiur</t>
  </si>
  <si>
    <t>Tarakan</t>
  </si>
  <si>
    <t>Sindenreng Rappang</t>
  </si>
  <si>
    <t>Muna</t>
  </si>
  <si>
    <t>Malang</t>
  </si>
  <si>
    <t>Rantepao</t>
  </si>
  <si>
    <t>Grobogan</t>
  </si>
  <si>
    <t>Cabange Soppeng</t>
  </si>
  <si>
    <t>Bengkalis</t>
  </si>
  <si>
    <t>Palangkaraya</t>
  </si>
  <si>
    <t>Cirebon</t>
  </si>
  <si>
    <t>Kembang Janggut</t>
  </si>
  <si>
    <t>Jember</t>
  </si>
  <si>
    <t>Pinrang</t>
  </si>
  <si>
    <t>Lombok Timur</t>
  </si>
  <si>
    <t>Bulukumba</t>
  </si>
  <si>
    <t>197411182000121001</t>
  </si>
  <si>
    <t>197408132002121001</t>
  </si>
  <si>
    <t>197612092003121002</t>
  </si>
  <si>
    <t>197502102003122002</t>
  </si>
  <si>
    <t>197110272002121002</t>
  </si>
  <si>
    <t>197012292003121001</t>
  </si>
  <si>
    <t>197604082008121002</t>
  </si>
  <si>
    <t>198510022008122001</t>
  </si>
  <si>
    <t>196902071993032002</t>
  </si>
  <si>
    <t>198308242009121006</t>
  </si>
  <si>
    <t>197607272003121002</t>
  </si>
  <si>
    <t>199312312022032009</t>
  </si>
  <si>
    <t>199210202022031007</t>
  </si>
  <si>
    <t>197210252001121001</t>
  </si>
  <si>
    <t>197401092000122001</t>
  </si>
  <si>
    <t>196611252001122001</t>
  </si>
  <si>
    <t>197305172005011009</t>
  </si>
  <si>
    <t>198002022008121002</t>
  </si>
  <si>
    <t>199408032022031005</t>
  </si>
  <si>
    <t>196109141990012001</t>
  </si>
  <si>
    <t>197708272001122002</t>
  </si>
  <si>
    <t>197206122001121003</t>
  </si>
  <si>
    <t>197011012005011003</t>
  </si>
  <si>
    <t>197705242002122001</t>
  </si>
  <si>
    <t>197105141998031003</t>
  </si>
  <si>
    <t>197507082001122003</t>
  </si>
  <si>
    <t>197806242005012002</t>
  </si>
  <si>
    <t>199212212019031014</t>
  </si>
  <si>
    <t>199004292022031003</t>
  </si>
  <si>
    <t>199301012022031011</t>
  </si>
  <si>
    <t>199111212022032010</t>
  </si>
  <si>
    <t>198211172023211010</t>
  </si>
  <si>
    <t>197011162000032002</t>
  </si>
  <si>
    <t>198111302008122002</t>
  </si>
  <si>
    <t>198901122020121003</t>
  </si>
  <si>
    <t>197810132009122001</t>
  </si>
  <si>
    <t>196208171989031003</t>
  </si>
  <si>
    <t>197101031997032001</t>
  </si>
  <si>
    <t>197006041994121002</t>
  </si>
  <si>
    <t>197603152009121002</t>
  </si>
  <si>
    <t>198710042015041002</t>
  </si>
  <si>
    <t>199201042019031016</t>
  </si>
  <si>
    <t>199311012022031009</t>
  </si>
  <si>
    <t>196805251995121001</t>
  </si>
  <si>
    <t>197410132001121003</t>
  </si>
  <si>
    <t>197906132008121003</t>
  </si>
  <si>
    <t>198307192009121007</t>
  </si>
  <si>
    <t>198811052018032001</t>
  </si>
  <si>
    <t>198906022018031001</t>
  </si>
  <si>
    <t>198906052019031017</t>
  </si>
  <si>
    <t>198804282019032013</t>
  </si>
  <si>
    <t>199106022019031016</t>
  </si>
  <si>
    <t>199101132019032023</t>
  </si>
  <si>
    <t>198902082020121003</t>
  </si>
  <si>
    <t>199111042022031003</t>
  </si>
  <si>
    <t>199210102022031014</t>
  </si>
  <si>
    <t>199010122014041002</t>
  </si>
  <si>
    <t>199011182014041001</t>
  </si>
  <si>
    <t>199001222015041001</t>
  </si>
  <si>
    <t>198402222018031001</t>
  </si>
  <si>
    <t>199104192018031001</t>
  </si>
  <si>
    <t>198706272019031016</t>
  </si>
  <si>
    <t>198805162019031011</t>
  </si>
  <si>
    <t>199208192019031014</t>
  </si>
  <si>
    <t>199303032022031009</t>
  </si>
  <si>
    <t>199212072019031010</t>
  </si>
  <si>
    <t>198504122019031010</t>
  </si>
  <si>
    <t>198908072022032007</t>
  </si>
  <si>
    <t>198704042022032004</t>
  </si>
  <si>
    <t>Ujung Pandang</t>
  </si>
  <si>
    <t>Kulonprogo</t>
  </si>
  <si>
    <t>Ganra</t>
  </si>
  <si>
    <t>Enrekang</t>
  </si>
  <si>
    <t>Bandar Hinalang</t>
  </si>
  <si>
    <t>Jayapura</t>
  </si>
  <si>
    <t>Gresik</t>
  </si>
  <si>
    <t>Medan</t>
  </si>
  <si>
    <t>Tolitoli</t>
  </si>
  <si>
    <t>Ngawi</t>
  </si>
  <si>
    <t>Berau</t>
  </si>
  <si>
    <t>Palembang</t>
  </si>
  <si>
    <t>Tulung Agung</t>
  </si>
  <si>
    <t>Sanga-Sanga</t>
  </si>
  <si>
    <t>Palangka Raya</t>
  </si>
  <si>
    <t>Tuban</t>
  </si>
  <si>
    <t>Bandar Negeri</t>
  </si>
  <si>
    <t>Barabai</t>
  </si>
  <si>
    <t>Buton Tengah</t>
  </si>
  <si>
    <t>Karang Anyar</t>
  </si>
  <si>
    <t>Kab. Jeneponto</t>
  </si>
  <si>
    <t>Kendari</t>
  </si>
  <si>
    <t>Blitar</t>
  </si>
  <si>
    <t>Tapanuli Utara</t>
  </si>
  <si>
    <t>Kab. Cirebon</t>
  </si>
  <si>
    <t>Jombang</t>
  </si>
  <si>
    <t>Lamongan</t>
  </si>
  <si>
    <t>Parigi Moutong</t>
  </si>
  <si>
    <t>Watansoppeng</t>
  </si>
  <si>
    <t>Kota Gorontalo</t>
  </si>
  <si>
    <t>Kab. Bone</t>
  </si>
  <si>
    <t>Bontang</t>
  </si>
  <si>
    <t>01/08/2023 - 31/07/2028</t>
  </si>
  <si>
    <t>Hamidah, A.Md.</t>
  </si>
  <si>
    <t>Shinta Sisilia Paurru, S.T.</t>
  </si>
  <si>
    <t>IV/c</t>
  </si>
  <si>
    <t>X</t>
  </si>
  <si>
    <t>Q.244805</t>
  </si>
  <si>
    <t>E.573214</t>
  </si>
  <si>
    <t>E.743504</t>
  </si>
  <si>
    <t>F.334008</t>
  </si>
  <si>
    <t>E.573218</t>
  </si>
  <si>
    <t>E.743408</t>
  </si>
  <si>
    <t>F.334006</t>
  </si>
  <si>
    <t>G.322142</t>
  </si>
  <si>
    <t>G.322141</t>
  </si>
  <si>
    <t>J.018045</t>
  </si>
  <si>
    <t>G.451506</t>
  </si>
  <si>
    <t>E.743109</t>
  </si>
  <si>
    <t>G.451505</t>
  </si>
  <si>
    <t>H.012902</t>
  </si>
  <si>
    <t>E.573211</t>
  </si>
  <si>
    <t>H.012901</t>
  </si>
  <si>
    <t>G.415422</t>
  </si>
  <si>
    <t>G.451504</t>
  </si>
  <si>
    <t>F.334022</t>
  </si>
  <si>
    <t>H.812983</t>
  </si>
  <si>
    <t>Q.244804</t>
  </si>
  <si>
    <t>B.08001390</t>
  </si>
  <si>
    <t>G.451496</t>
  </si>
  <si>
    <t>E.743407</t>
  </si>
  <si>
    <t>E.743502</t>
  </si>
  <si>
    <t>L.110239</t>
  </si>
  <si>
    <t>Q.248178</t>
  </si>
  <si>
    <t>P.532926</t>
  </si>
  <si>
    <t>L.181251</t>
  </si>
  <si>
    <t>B.08001389</t>
  </si>
  <si>
    <t>Q.244798</t>
  </si>
  <si>
    <t>J.068716</t>
  </si>
  <si>
    <t>M.009354</t>
  </si>
  <si>
    <t>L.110237</t>
  </si>
  <si>
    <t>M.009355</t>
  </si>
  <si>
    <t>M.009353</t>
  </si>
  <si>
    <t>L.1102340</t>
  </si>
  <si>
    <t>M.009351</t>
  </si>
  <si>
    <t>P.532923</t>
  </si>
  <si>
    <t>P.532922</t>
  </si>
  <si>
    <t>G.035802</t>
  </si>
  <si>
    <t>Q.244809</t>
  </si>
  <si>
    <t>M.009352</t>
  </si>
  <si>
    <t>K.006472</t>
  </si>
  <si>
    <t>J.068719</t>
  </si>
  <si>
    <t>K.006473</t>
  </si>
  <si>
    <t>M.065055</t>
  </si>
  <si>
    <t>P.532921</t>
  </si>
  <si>
    <t>F.209903</t>
  </si>
  <si>
    <t>K.006470</t>
  </si>
  <si>
    <t>K.006469</t>
  </si>
  <si>
    <t>M.065050</t>
  </si>
  <si>
    <t>L.110234</t>
  </si>
  <si>
    <t>I.007438</t>
  </si>
  <si>
    <t>K.006468</t>
  </si>
  <si>
    <t>M.065056</t>
  </si>
  <si>
    <t>P.532924</t>
  </si>
  <si>
    <t>E.743503</t>
  </si>
  <si>
    <t>G.451507</t>
  </si>
  <si>
    <t>G.200395</t>
  </si>
  <si>
    <t>Q.244802</t>
  </si>
  <si>
    <t>B.00026505</t>
  </si>
  <si>
    <t>G.271270</t>
  </si>
  <si>
    <t>K.006471</t>
  </si>
  <si>
    <t>P.532925</t>
  </si>
  <si>
    <t>Q.244801</t>
  </si>
  <si>
    <t>B.00045613</t>
  </si>
  <si>
    <t>B.00045574</t>
  </si>
  <si>
    <t>B.08001392</t>
  </si>
  <si>
    <t>B.08001391</t>
  </si>
  <si>
    <t>B.00026506</t>
  </si>
  <si>
    <t>B.00045611</t>
  </si>
  <si>
    <t>B.00045612</t>
  </si>
  <si>
    <t>Lektor Kepala</t>
  </si>
  <si>
    <t>Lektor</t>
  </si>
  <si>
    <t>Asisten Ahli</t>
  </si>
  <si>
    <t>ANGKA KREDIT</t>
  </si>
  <si>
    <t>TMT FUNGSIONAL</t>
  </si>
  <si>
    <t>JABATAN STRUKTURAL</t>
  </si>
  <si>
    <t>TMT JABATAN STRUKTURAL</t>
  </si>
  <si>
    <t>TMT JABATAN STRUKTUAL</t>
  </si>
  <si>
    <t>Ka. Lab Tanah dan Air</t>
  </si>
  <si>
    <t>Ka. Lab. Persemaian</t>
  </si>
  <si>
    <t>Ka. Lab. Konservasi</t>
  </si>
  <si>
    <t>Ka. Lab. Silvikultur Hutan</t>
  </si>
  <si>
    <t>Ka. Lab. Sosial Ekonomi Kehutanan</t>
  </si>
  <si>
    <t>Sekjur. Lingkungan dan Kehutanan</t>
  </si>
  <si>
    <t>Ka. Lab. Perencanaan Hutan</t>
  </si>
  <si>
    <t>KPS. Pengelolaan Hutan</t>
  </si>
  <si>
    <t>KUPA. Perawatan dan Perbaikan</t>
  </si>
  <si>
    <t>DLL</t>
  </si>
  <si>
    <t>CPNS 2022</t>
  </si>
  <si>
    <t>Ka. Lab. Sifat Kayu dan Analisis Produk</t>
  </si>
  <si>
    <t>KPS. Pengolahan Hasil Hutan</t>
  </si>
  <si>
    <t>Wakil Direktur I</t>
  </si>
  <si>
    <t>Ka. Lab. Keteknikan Hutan</t>
  </si>
  <si>
    <t>Ka. Lab. Kualitas Udara dan Cuaca</t>
  </si>
  <si>
    <r>
      <t xml:space="preserve">KPS. Rekayasa Kayu / </t>
    </r>
    <r>
      <rPr>
        <b/>
        <sz val="12"/>
        <color theme="1"/>
        <rFont val="Calibri"/>
        <family val="2"/>
        <scheme val="minor"/>
      </rPr>
      <t>Ketua Senat</t>
    </r>
  </si>
  <si>
    <t>Wakil Direktur II</t>
  </si>
  <si>
    <t>Ka. Lab. Rekayasa Pengolahan Kayu</t>
  </si>
  <si>
    <t>Kajur. Lingkungan dan Kehutanan</t>
  </si>
  <si>
    <t>Ka. Lab. Hasil Hutan Non Kayu</t>
  </si>
  <si>
    <t>PPPK 2023</t>
  </si>
  <si>
    <t>KPS. Teknologi Rekayasa Pengendalian Pencemaran Lingkungan</t>
  </si>
  <si>
    <t>Ka. Lab. K3 dan Kesehatan Lingkungan</t>
  </si>
  <si>
    <t>Ka. Lab. Mikrobiologi</t>
  </si>
  <si>
    <t>KAPUS. Penelitian dan Pengabdian Masyarakat</t>
  </si>
  <si>
    <t>Kajur. Pertanian</t>
  </si>
  <si>
    <t>KPS. Teknologi Hasil Perkebunan</t>
  </si>
  <si>
    <t>DIREKTUR</t>
  </si>
  <si>
    <t>Ka. Lab. Kimia Analitik</t>
  </si>
  <si>
    <t>Ka. Lab. Pengolahan Kelapa Sawit</t>
  </si>
  <si>
    <t>KUPA. Pengembangan Karier dan Kewirausahaan</t>
  </si>
  <si>
    <t>Ka. Lab. Kebun Percontohan</t>
  </si>
  <si>
    <t>KPS. Budidaya Tanaman Perkebunan</t>
  </si>
  <si>
    <t>Ka. Lab. Administrasi Perkebunan</t>
  </si>
  <si>
    <t>KAPUS. Penjamin Mutu dan Pengembangan Pembelajaran</t>
  </si>
  <si>
    <t>KUPA. Teknologi Informasi dan Komunikasi</t>
  </si>
  <si>
    <t>KPS. Pengelolaan Perkebunan / KUPA. Layanan Uji Kompetensi</t>
  </si>
  <si>
    <t>Tim SPI (Sekretaris)</t>
  </si>
  <si>
    <t>Ka. Lab. Produksi</t>
  </si>
  <si>
    <t>Ka. Lab. Agronomi</t>
  </si>
  <si>
    <t>KPS. Teknologi Produksi Tanaman Pangan</t>
  </si>
  <si>
    <t>Ka. Lab. Indraja dan SIG</t>
  </si>
  <si>
    <t>Ka. Lab. Geomatika</t>
  </si>
  <si>
    <t>KPS. Teknologi Geomatika</t>
  </si>
  <si>
    <t>Kajur. Rekayasa dan Komputer</t>
  </si>
  <si>
    <t>MKDU</t>
  </si>
  <si>
    <t>Wakil Direktur III</t>
  </si>
  <si>
    <t>KPS. Teknologi Rekayasa Perangkat Lunak</t>
  </si>
  <si>
    <t>Ka. Lab. Rekayasa Perangkat Lunak</t>
  </si>
  <si>
    <t>Sekretaris KAPUS. P3KM</t>
  </si>
  <si>
    <t>Sekjur. Rekayasa dan Komputer</t>
  </si>
  <si>
    <t>KUPA. Perpustakaan</t>
  </si>
  <si>
    <t>P4MP (anggota)</t>
  </si>
  <si>
    <t>Tim SPI (Ketua)</t>
  </si>
  <si>
    <t>Politeknik Pertanian Negeri Samarinda</t>
  </si>
  <si>
    <t>STATUS KEPEGAWAIAN</t>
  </si>
  <si>
    <t>TETAP</t>
  </si>
  <si>
    <t>TIDAK TETAP</t>
  </si>
  <si>
    <t>JUMLAH</t>
  </si>
  <si>
    <t>IJAZAH TERTINGGI</t>
  </si>
  <si>
    <t>DIPLOMA</t>
  </si>
  <si>
    <t>SARJANA</t>
  </si>
  <si>
    <t>MAGISTER</t>
  </si>
  <si>
    <t>DOKTOR</t>
  </si>
  <si>
    <t>Perempuan</t>
  </si>
  <si>
    <t>Laki - laki</t>
  </si>
  <si>
    <t>PLP</t>
  </si>
  <si>
    <r>
      <t>Jumlah Data</t>
    </r>
    <r>
      <rPr>
        <b/>
        <sz val="12"/>
        <color theme="1"/>
        <rFont val="Calibri"/>
        <family val="2"/>
        <scheme val="minor"/>
      </rPr>
      <t xml:space="preserve"> ADMINISTRASI, PUSTAKAWAN, PLP, DOSEN,</t>
    </r>
    <r>
      <rPr>
        <sz val="12"/>
        <color theme="1"/>
        <rFont val="Calibri"/>
        <family val="2"/>
        <scheme val="minor"/>
      </rPr>
      <t xml:space="preserve"> Menurut Status Kepegawaian Jenis Kelamin dan Pendidikan</t>
    </r>
  </si>
  <si>
    <r>
      <t xml:space="preserve">Jumlah Data </t>
    </r>
    <r>
      <rPr>
        <b/>
        <sz val="12"/>
        <color theme="1"/>
        <rFont val="Calibri"/>
        <family val="2"/>
        <scheme val="minor"/>
      </rPr>
      <t xml:space="preserve">ADMINISTRASI, PUSTAKAWAN, PLP, DOSEM, </t>
    </r>
    <r>
      <rPr>
        <sz val="12"/>
        <color theme="1"/>
        <rFont val="Calibri"/>
        <family val="2"/>
        <scheme val="minor"/>
      </rPr>
      <t>Berdasarkan Pangkat dan Golongan</t>
    </r>
  </si>
  <si>
    <t>PANGKAT</t>
  </si>
  <si>
    <t>Administrasi</t>
  </si>
  <si>
    <t>GOL/RUANG</t>
  </si>
  <si>
    <t>Pembina Utama Muda</t>
  </si>
  <si>
    <t>Pembina Tk.I</t>
  </si>
  <si>
    <t>Pembina</t>
  </si>
  <si>
    <t>Penata Tk.I</t>
  </si>
  <si>
    <t>Penata</t>
  </si>
  <si>
    <t>Penata Muda Tk.I</t>
  </si>
  <si>
    <t>Penata Muda</t>
  </si>
  <si>
    <t>Pengatur Tk.I</t>
  </si>
  <si>
    <t>Pengatur</t>
  </si>
  <si>
    <t>Pengatur Muda Tk.I</t>
  </si>
  <si>
    <t>Pengatur Muda</t>
  </si>
  <si>
    <t>PPPK</t>
  </si>
  <si>
    <t>II/d</t>
  </si>
  <si>
    <t>II/b</t>
  </si>
  <si>
    <t>II/a</t>
  </si>
  <si>
    <r>
      <t xml:space="preserve">Jumlah Data </t>
    </r>
    <r>
      <rPr>
        <b/>
        <sz val="12"/>
        <color theme="1"/>
        <rFont val="Calibri"/>
        <family val="2"/>
        <scheme val="minor"/>
      </rPr>
      <t>PLP, DOSEN,</t>
    </r>
    <r>
      <rPr>
        <sz val="12"/>
        <color theme="1"/>
        <rFont val="Calibri"/>
        <family val="2"/>
        <scheme val="minor"/>
      </rPr>
      <t xml:space="preserve"> Menurut Jabatan </t>
    </r>
    <r>
      <rPr>
        <b/>
        <sz val="12"/>
        <color theme="1"/>
        <rFont val="Calibri"/>
        <family val="2"/>
        <scheme val="minor"/>
      </rPr>
      <t>FUNGSIONAL</t>
    </r>
  </si>
  <si>
    <t>LEKTOR KEPALA</t>
  </si>
  <si>
    <t>LEKTOR</t>
  </si>
  <si>
    <t>ASISTEN AHLI</t>
  </si>
  <si>
    <t>TENAGA PENGAJAR</t>
  </si>
  <si>
    <t>MADYA</t>
  </si>
  <si>
    <t>MUDA</t>
  </si>
  <si>
    <t>PERTAMA</t>
  </si>
  <si>
    <t>PENYELIA</t>
  </si>
  <si>
    <t>PELAKSANA LANJUTAN (MAHIR)</t>
  </si>
  <si>
    <t>PELAKSANA (TERAMPIL)</t>
  </si>
  <si>
    <t>ADM, PLP, DOSEN</t>
  </si>
  <si>
    <t>Annisa Aulia Rahman, S.Kom.</t>
  </si>
  <si>
    <t>Aulia Lutfi Balfasd, S.H.</t>
  </si>
  <si>
    <t>Herfani, A.Md</t>
  </si>
  <si>
    <t>Marlin Natalia H, S.K.M.</t>
  </si>
  <si>
    <t>Nisken Ferdhika Iswardhani, S.ST.</t>
  </si>
  <si>
    <t>Immanuel Valerie Josephine Rombe Allo, S.Tr.Kom.</t>
  </si>
  <si>
    <t>Yuliasmanto, A.Md.Hut.</t>
  </si>
  <si>
    <t>Rusydi, A.Md.Hut.</t>
  </si>
  <si>
    <t>Winda Kurnia Setiawati, S.Kom.</t>
  </si>
  <si>
    <t>Priyageng Adi Nugroho, S.Tr.Kom.</t>
  </si>
  <si>
    <t>Sabrani, S.Tr.Kom.</t>
  </si>
  <si>
    <t>Irga Febrianto Ramadhan, S.Tr.Kom.</t>
  </si>
  <si>
    <t>Heppy Herliyanti, A.Md.</t>
  </si>
  <si>
    <t>Muhammad Arya Mulawarman, S.Pd.</t>
  </si>
  <si>
    <t>Wa Ode Nurwiana, S.Tr.Kom.</t>
  </si>
  <si>
    <t>Nurmayanti Sumarlin, A.Md.</t>
  </si>
  <si>
    <t>NIK</t>
  </si>
  <si>
    <t>6472037101830001</t>
  </si>
  <si>
    <t>6402121711890001</t>
  </si>
  <si>
    <t>6472047108950005</t>
  </si>
  <si>
    <t>6472034912940004</t>
  </si>
  <si>
    <t>6402036705940002</t>
  </si>
  <si>
    <t>6472025403920001</t>
  </si>
  <si>
    <t>6472020911960002</t>
  </si>
  <si>
    <t>6472040607960008</t>
  </si>
  <si>
    <t>6402031101970002</t>
  </si>
  <si>
    <t>6472077007950002</t>
  </si>
  <si>
    <t>6472050301970002</t>
  </si>
  <si>
    <t>6472023108960004</t>
  </si>
  <si>
    <t>7306082002950001</t>
  </si>
  <si>
    <t>6472055109950001</t>
  </si>
  <si>
    <t>6472021111940001</t>
  </si>
  <si>
    <t>6472026505960001</t>
  </si>
  <si>
    <t>6472044701940007</t>
  </si>
  <si>
    <t>Ilmu Hukum Kons. Hukum Bisnis</t>
  </si>
  <si>
    <t>Teknik Informatika</t>
  </si>
  <si>
    <t>Desain Produk</t>
  </si>
  <si>
    <t>Kesehatan Masyarakat</t>
  </si>
  <si>
    <t>Kebidanan</t>
  </si>
  <si>
    <t>Manajemen Lingkungan</t>
  </si>
  <si>
    <t>Pendidikan Matematika Kons. Pendidikan Ilmu Komputer</t>
  </si>
  <si>
    <t>Bakungan</t>
  </si>
  <si>
    <t>SK. AWAL</t>
  </si>
  <si>
    <t>MASA KERJA PEGAWAI</t>
  </si>
  <si>
    <t>SK. AKHIR</t>
  </si>
  <si>
    <t>PENEMPATAN</t>
  </si>
  <si>
    <t>SEKRETARIS DIREKTUR</t>
  </si>
  <si>
    <t>ADM. PENGOLAHAN HASIL HUTAN</t>
  </si>
  <si>
    <t>ADM. PENGELOLAAN LINGKUNGAN</t>
  </si>
  <si>
    <t>ADM. BUDIDAYA TANAMAN PERKEBUNAN</t>
  </si>
  <si>
    <t>ADM. TEKNOLOGI REKAYASA PERANGKAT LUNAK</t>
  </si>
  <si>
    <t>ADM. TEKNOLOGI GEOMATIKA</t>
  </si>
  <si>
    <t>ADM. AKADEMIK</t>
  </si>
  <si>
    <t>ADM. JUR. LINGKUNGAN DAN KEHUTANAN</t>
  </si>
  <si>
    <t>ADM. REKAYASA KAYU</t>
  </si>
  <si>
    <t>ADM. PENGELOLAAN PERKEBUNAN</t>
  </si>
  <si>
    <t>ADM. PENGELOLAAN HUTAN</t>
  </si>
  <si>
    <t>TEK. TEKNOLOGI REKAYASA PERANGKAT LUNAK</t>
  </si>
  <si>
    <t>ADM. UMUM</t>
  </si>
  <si>
    <t>ADM. KAPUS. P3KM</t>
  </si>
  <si>
    <t>ADM. KEPEGAWAIAN</t>
  </si>
  <si>
    <t>ADM. TEKNOLOGI HASIL PERKEBUNAN</t>
  </si>
  <si>
    <t>ADM. AKADEMIK (HUMAS)</t>
  </si>
  <si>
    <t>Bayu Putra Abthal, A.Md.</t>
  </si>
  <si>
    <t>Muhammad Ade Saputra, S.Kom.</t>
  </si>
  <si>
    <t>Herwin Mardhana, S.Kom.</t>
  </si>
  <si>
    <t>Triono Risti Sutrisno, A.Md.</t>
  </si>
  <si>
    <t>Rasiah, A.Md.</t>
  </si>
  <si>
    <t>6472022510910005</t>
  </si>
  <si>
    <t>6472062907920003</t>
  </si>
  <si>
    <t>6472060901920001</t>
  </si>
  <si>
    <t>6405027007900003</t>
  </si>
  <si>
    <t>Geoinformatika</t>
  </si>
  <si>
    <t>TEK. TEKNOLOGI GEOMATIKA</t>
  </si>
  <si>
    <t>TEK. PENGELOLAAN PERKEBUNAN</t>
  </si>
  <si>
    <t>SATUAN PENGAMANAN (SECURITY)</t>
  </si>
  <si>
    <t>Jito</t>
  </si>
  <si>
    <t>Syahrani</t>
  </si>
  <si>
    <t>Hery Antoniolin</t>
  </si>
  <si>
    <t>Suyono</t>
  </si>
  <si>
    <t>Agus Budi Santoso</t>
  </si>
  <si>
    <t>Arbain</t>
  </si>
  <si>
    <t>Salman</t>
  </si>
  <si>
    <t>Ahmad Junaidi</t>
  </si>
  <si>
    <t>Ali Mashadi</t>
  </si>
  <si>
    <t>Herianto</t>
  </si>
  <si>
    <t>Andik Setiawan</t>
  </si>
  <si>
    <t>Rahmat</t>
  </si>
  <si>
    <t>Mansur M</t>
  </si>
  <si>
    <t>Andi Ilham Suherman</t>
  </si>
  <si>
    <t>Rusdianto</t>
  </si>
  <si>
    <t>Ahmad Rodi</t>
  </si>
  <si>
    <t>Basri R</t>
  </si>
  <si>
    <t>Kotamobagu</t>
  </si>
  <si>
    <t>Watampone</t>
  </si>
  <si>
    <t>Pare-Pare</t>
  </si>
  <si>
    <t>SMP</t>
  </si>
  <si>
    <t>D1</t>
  </si>
  <si>
    <t>SD</t>
  </si>
  <si>
    <t>SMK</t>
  </si>
  <si>
    <t>SLTP</t>
  </si>
  <si>
    <t>MAN</t>
  </si>
  <si>
    <t>PETUGAS KEBERSIHAN (CLEANING SERVICE)</t>
  </si>
  <si>
    <t>Iche</t>
  </si>
  <si>
    <t>Nur Amanah</t>
  </si>
  <si>
    <t>Sri Wahyuni</t>
  </si>
  <si>
    <t>Nia Maya Safitri</t>
  </si>
  <si>
    <t>Hamsinah</t>
  </si>
  <si>
    <t>Jumiati</t>
  </si>
  <si>
    <t>Eny Darwati</t>
  </si>
  <si>
    <t>Suyono Achmad Fatoni</t>
  </si>
  <si>
    <t>Isnaniah</t>
  </si>
  <si>
    <t>Siti Wardah A</t>
  </si>
  <si>
    <t>Sukran</t>
  </si>
  <si>
    <t>Nurdiyanti</t>
  </si>
  <si>
    <t>Yuli Rabin</t>
  </si>
  <si>
    <t>Salmah</t>
  </si>
  <si>
    <t>Noni Fahriyanti</t>
  </si>
  <si>
    <t>Fahriana</t>
  </si>
  <si>
    <t>Rukayah</t>
  </si>
  <si>
    <t>Khusnul Chotimah</t>
  </si>
  <si>
    <t>Noor Hatimah</t>
  </si>
  <si>
    <t>Tauhid</t>
  </si>
  <si>
    <t>Nur Hasanah</t>
  </si>
  <si>
    <t>Abidin</t>
  </si>
  <si>
    <t>Basuni</t>
  </si>
  <si>
    <t>Pulkani</t>
  </si>
  <si>
    <t>Musniar Lajemma</t>
  </si>
  <si>
    <t>6472025210860002</t>
  </si>
  <si>
    <t>6472025601730001</t>
  </si>
  <si>
    <t>6472026704450001</t>
  </si>
  <si>
    <t>6472024106860008</t>
  </si>
  <si>
    <t>6472025309780003</t>
  </si>
  <si>
    <t>6472025404750004</t>
  </si>
  <si>
    <t>6472025210880001</t>
  </si>
  <si>
    <t>6472021303690001</t>
  </si>
  <si>
    <t>6472025609700001</t>
  </si>
  <si>
    <t>6472024204760001</t>
  </si>
  <si>
    <t>6472030205630006</t>
  </si>
  <si>
    <t>6472024604730004</t>
  </si>
  <si>
    <t>6472025409690002</t>
  </si>
  <si>
    <t>6472025812800001</t>
  </si>
  <si>
    <t>6472024204720001</t>
  </si>
  <si>
    <t>6472106812840001</t>
  </si>
  <si>
    <t>6472025111670001</t>
  </si>
  <si>
    <t>6472026408670001</t>
  </si>
  <si>
    <t>6472024708870002</t>
  </si>
  <si>
    <t>6402030509650006</t>
  </si>
  <si>
    <t>6472105502780001</t>
  </si>
  <si>
    <t>6472030412740003</t>
  </si>
  <si>
    <t>MTS</t>
  </si>
  <si>
    <t>MTSN</t>
  </si>
  <si>
    <t>SLTA</t>
  </si>
  <si>
    <t>Sabintulung</t>
  </si>
  <si>
    <t>Kapuas</t>
  </si>
  <si>
    <t>Muara Pahu</t>
  </si>
  <si>
    <t>Madiun</t>
  </si>
  <si>
    <t>Barong Tongkok</t>
  </si>
  <si>
    <t>Samboja</t>
  </si>
  <si>
    <t>Petugas Kebersihan</t>
  </si>
  <si>
    <t>PENJAGA MALAM (WAKAR)</t>
  </si>
  <si>
    <t>Penjaga Malam</t>
  </si>
  <si>
    <t>Satuan Pengamanan</t>
  </si>
  <si>
    <t>Syahroni</t>
  </si>
  <si>
    <t>Gafur M</t>
  </si>
  <si>
    <t>Hardi</t>
  </si>
  <si>
    <t>Suprapto</t>
  </si>
  <si>
    <t>Saroni</t>
  </si>
  <si>
    <t>Bambang Irawan</t>
  </si>
  <si>
    <t>Maya Romansyah</t>
  </si>
  <si>
    <t>6472022501790003</t>
  </si>
  <si>
    <t>6472020211710001</t>
  </si>
  <si>
    <t>6472020604820004</t>
  </si>
  <si>
    <t>3509030303760000</t>
  </si>
  <si>
    <t>6472020303660003</t>
  </si>
  <si>
    <t>6402062605760003</t>
  </si>
  <si>
    <t>6404050908820002</t>
  </si>
  <si>
    <t>Palu</t>
  </si>
  <si>
    <t>Tanjung Selor</t>
  </si>
  <si>
    <t>SOPIR</t>
  </si>
  <si>
    <t>Sopir</t>
  </si>
  <si>
    <t>M. Yasid</t>
  </si>
  <si>
    <t>Hasan</t>
  </si>
  <si>
    <t>6472051201790005</t>
  </si>
  <si>
    <t>6472020405800008</t>
  </si>
  <si>
    <t>BATAS USIA PENSIUN (BUP)</t>
  </si>
  <si>
    <t>TAHUN PENSIUN</t>
  </si>
  <si>
    <t>Administrasi Fungsional Madya</t>
  </si>
  <si>
    <t>Pustakawan</t>
  </si>
  <si>
    <t>PLP Madya</t>
  </si>
  <si>
    <t>Dosen</t>
  </si>
  <si>
    <t>199312252024212001</t>
  </si>
  <si>
    <t>Ilmu Lingkungan</t>
  </si>
  <si>
    <t>01/01/2024 - 31/12/2028</t>
  </si>
  <si>
    <t>PRODI. TEKNOLOGI REKAYASA PANGAN</t>
  </si>
  <si>
    <r>
      <t xml:space="preserve">Jumlah Data Pegawai </t>
    </r>
    <r>
      <rPr>
        <b/>
        <sz val="12"/>
        <color theme="1"/>
        <rFont val="Calibri"/>
        <family val="2"/>
        <scheme val="minor"/>
      </rPr>
      <t xml:space="preserve">HONORER </t>
    </r>
    <r>
      <rPr>
        <sz val="12"/>
        <color theme="1"/>
        <rFont val="Calibri"/>
        <family val="2"/>
        <scheme val="minor"/>
      </rPr>
      <t xml:space="preserve">menurut </t>
    </r>
    <r>
      <rPr>
        <b/>
        <sz val="12"/>
        <color theme="1"/>
        <rFont val="Calibri"/>
        <family val="2"/>
        <scheme val="minor"/>
      </rPr>
      <t>PEKERJAAN</t>
    </r>
  </si>
  <si>
    <t>Laki-Laki</t>
  </si>
  <si>
    <t>17, 1</t>
  </si>
  <si>
    <t>197401082001121002</t>
  </si>
  <si>
    <t>199203012024211026</t>
  </si>
  <si>
    <t>01/04/2024 - 31/03/2029</t>
  </si>
  <si>
    <t>IX</t>
  </si>
  <si>
    <t>Pranata Komputer Ahli Pertama</t>
  </si>
  <si>
    <t>JURUSAN : PERTANIAN</t>
  </si>
  <si>
    <t>JURUSAN : REKAYASA DAN KOMPUTER</t>
  </si>
  <si>
    <t>Niswatun Hasanah, S.Si., M.Si.</t>
  </si>
  <si>
    <t>198607102024212023</t>
  </si>
  <si>
    <t>PPPK2024</t>
  </si>
  <si>
    <t>PPPK 2024</t>
  </si>
  <si>
    <t>Ridwan, S.T., M.Sc.</t>
  </si>
  <si>
    <t>197902052024211004</t>
  </si>
  <si>
    <t>198401082019032009</t>
  </si>
  <si>
    <t>197707232003122002</t>
  </si>
  <si>
    <t>PROGRAM STUDI : TEKNOLOGI REKAYASA PANGAN D.IV</t>
  </si>
  <si>
    <t>Ilmu Pengelolaan Hutan</t>
  </si>
  <si>
    <t>Ilmu Tanah</t>
  </si>
  <si>
    <t>196906192003121001</t>
  </si>
  <si>
    <t>197805172009121002</t>
  </si>
  <si>
    <t>Petugas Teknologi Informasi Komputer</t>
  </si>
  <si>
    <t>197008172000031002</t>
  </si>
  <si>
    <t>Pengelolaan Kemahasiswaan/Alumni</t>
  </si>
  <si>
    <t>Irma Wahyuningtyas, M.Si.</t>
  </si>
  <si>
    <t>199803192024062001</t>
  </si>
  <si>
    <t>Ilmu dan Teknologi Hasil Hutan</t>
  </si>
  <si>
    <t>CPNS 2023</t>
  </si>
  <si>
    <t>Agung Nugrawan Kutana, S.Hut., M.Si.</t>
  </si>
  <si>
    <t>199710152024061001</t>
  </si>
  <si>
    <t>Nisrina Putri Hanifah, S.Hut., M.Si.</t>
  </si>
  <si>
    <t>199707132024062002</t>
  </si>
  <si>
    <t>Merauke</t>
  </si>
  <si>
    <t>Nur Isra, S.P., M.Ling.</t>
  </si>
  <si>
    <t>199412312024061002</t>
  </si>
  <si>
    <t>Pengelolaan Lingkungan</t>
  </si>
  <si>
    <t>Kepulauan Selayar</t>
  </si>
  <si>
    <t>Shalehudin Denny Maruf, S.Hut., M.Ling.</t>
  </si>
  <si>
    <t>199412222024061001</t>
  </si>
  <si>
    <t>Lampung Tengah</t>
  </si>
  <si>
    <t>Christopaul Pala'langan Toding Layuk, M.Ling</t>
  </si>
  <si>
    <t>199102242024061001</t>
  </si>
  <si>
    <t>Pengelolaan Lingkungan Hidup</t>
  </si>
  <si>
    <t>Nabire</t>
  </si>
  <si>
    <t>Andi Gita Tenri Sumpala, S.Si., M.Ling.</t>
  </si>
  <si>
    <t>199708022024062001</t>
  </si>
  <si>
    <t>199706252024062002</t>
  </si>
  <si>
    <t>Arsitektur Lanskap</t>
  </si>
  <si>
    <t>Muh. Akshar, S.Pd., M.Ars.</t>
  </si>
  <si>
    <t>199109282024061001</t>
  </si>
  <si>
    <t>Arsitektur</t>
  </si>
  <si>
    <t>Gowa</t>
  </si>
  <si>
    <t>Rahma Yanti T, S.Tr.P., M.T.P.</t>
  </si>
  <si>
    <t>199612202024062003</t>
  </si>
  <si>
    <t>Ilmu Ekonomi konsentrasi Ekonomika Korporasi</t>
  </si>
  <si>
    <t>Sistem Informasi (2020)</t>
  </si>
  <si>
    <t>Ilmu Komputer (2016)</t>
  </si>
  <si>
    <t>Teknik Geomatika (2016)</t>
  </si>
  <si>
    <t>Teknik Geomatika (2013)</t>
  </si>
  <si>
    <t>Geografi (2015)</t>
  </si>
  <si>
    <t>Ilmu Pendidikan (2015)</t>
  </si>
  <si>
    <t>Pendidikan Bahasa Inggris (2017)</t>
  </si>
  <si>
    <t>Ilmu Komputer (2008)</t>
  </si>
  <si>
    <t>Nadia Fatimah Azzahrah, M.Ars.L</t>
  </si>
  <si>
    <t>197010191990022001</t>
  </si>
  <si>
    <t>Pandhu Rochman Suosa Putra, S.T.P., M.Sc.</t>
  </si>
  <si>
    <t>LABORATORIUM</t>
  </si>
  <si>
    <t>Periani Paurru, S.P.</t>
  </si>
  <si>
    <t>197002181993032001</t>
  </si>
  <si>
    <t>Walenrang</t>
  </si>
  <si>
    <t>G.035808</t>
  </si>
  <si>
    <t>XXX (11 Juli 2024)</t>
  </si>
  <si>
    <t>X (11 Juli 2024)</t>
  </si>
  <si>
    <t>XX (19 Juni 2023)</t>
  </si>
  <si>
    <t>XXX (19 Juni 2023)</t>
  </si>
  <si>
    <t>STATUS</t>
  </si>
  <si>
    <t>Mahir</t>
  </si>
  <si>
    <t>Nurzaidar Anjar Sari Zain, S.P.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</si>
</sst>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"/>
    <numFmt numFmtId="165" formatCode="[$-421]yyyy"/>
  </numFmts>
  <fonts count="21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0070C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B65C0"/>
        <bgColor indexed="64"/>
      </patternFill>
    </fill>
    <fill>
      <patternFill patternType="solid">
        <fgColor rgb="FFFCFFF2"/>
        <bgColor indexed="64"/>
      </patternFill>
    </fill>
    <fill>
      <patternFill patternType="solid">
        <fgColor rgb="FF2F5298"/>
        <bgColor indexed="64"/>
      </patternFill>
    </fill>
    <fill>
      <patternFill patternType="solid">
        <fgColor rgb="FFA1385D"/>
        <bgColor indexed="64"/>
      </patternFill>
    </fill>
    <fill>
      <patternFill patternType="solid">
        <fgColor rgb="FFFFF4F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EC370"/>
        <bgColor indexed="64"/>
      </patternFill>
    </fill>
    <fill>
      <patternFill patternType="solid">
        <fgColor rgb="FFFCFFE6"/>
        <bgColor indexed="64"/>
      </patternFill>
    </fill>
    <fill>
      <patternFill patternType="solid">
        <fgColor rgb="FFB1DE85"/>
        <bgColor indexed="64"/>
      </patternFill>
    </fill>
    <fill>
      <patternFill patternType="solid">
        <fgColor rgb="FFF8FFFD"/>
        <bgColor indexed="64"/>
      </patternFill>
    </fill>
    <fill>
      <patternFill patternType="solid">
        <fgColor rgb="FFFFE7F8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22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0" fillId="0" borderId="4" xfId="0" quotePrefix="1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4" xfId="0" quotePrefix="1" applyNumberForma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22" fontId="2" fillId="0" borderId="0" xfId="0" applyNumberFormat="1" applyFont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49" fontId="5" fillId="8" borderId="10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22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  <xf numFmtId="49" fontId="0" fillId="0" borderId="0" xfId="0" quotePrefix="1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49" fontId="5" fillId="13" borderId="10" xfId="0" applyNumberFormat="1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22" fontId="0" fillId="0" borderId="0" xfId="0" applyNumberForma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16" xfId="0" applyNumberForma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/>
    </xf>
    <xf numFmtId="0" fontId="8" fillId="15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/>
    </xf>
    <xf numFmtId="49" fontId="0" fillId="0" borderId="3" xfId="0" quotePrefix="1" applyNumberFormat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/>
    </xf>
    <xf numFmtId="0" fontId="5" fillId="16" borderId="12" xfId="0" applyFont="1" applyFill="1" applyBorder="1" applyAlignment="1">
      <alignment horizontal="center" vertical="center"/>
    </xf>
    <xf numFmtId="0" fontId="5" fillId="16" borderId="11" xfId="0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8" fillId="17" borderId="6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17" fillId="18" borderId="1" xfId="0" applyFont="1" applyFill="1" applyBorder="1" applyAlignment="1">
      <alignment horizontal="center" vertical="center"/>
    </xf>
    <xf numFmtId="0" fontId="8" fillId="18" borderId="6" xfId="0" applyFont="1" applyFill="1" applyBorder="1" applyAlignment="1">
      <alignment horizontal="center" vertical="center"/>
    </xf>
    <xf numFmtId="0" fontId="5" fillId="19" borderId="10" xfId="0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0" fontId="17" fillId="20" borderId="1" xfId="0" applyFont="1" applyFill="1" applyBorder="1" applyAlignment="1">
      <alignment horizontal="center" vertical="center"/>
    </xf>
    <xf numFmtId="0" fontId="8" fillId="20" borderId="6" xfId="0" applyFont="1" applyFill="1" applyBorder="1" applyAlignment="1">
      <alignment horizontal="center" vertical="center"/>
    </xf>
    <xf numFmtId="0" fontId="8" fillId="21" borderId="1" xfId="0" applyFont="1" applyFill="1" applyBorder="1" applyAlignment="1">
      <alignment horizontal="center" vertical="center"/>
    </xf>
    <xf numFmtId="0" fontId="17" fillId="21" borderId="1" xfId="0" applyFont="1" applyFill="1" applyBorder="1" applyAlignment="1">
      <alignment horizontal="center" vertical="center"/>
    </xf>
    <xf numFmtId="0" fontId="8" fillId="21" borderId="6" xfId="0" applyFont="1" applyFill="1" applyBorder="1" applyAlignment="1">
      <alignment horizontal="center" vertical="center"/>
    </xf>
    <xf numFmtId="0" fontId="5" fillId="22" borderId="10" xfId="0" applyFont="1" applyFill="1" applyBorder="1" applyAlignment="1">
      <alignment horizontal="center" vertical="center"/>
    </xf>
    <xf numFmtId="0" fontId="5" fillId="22" borderId="12" xfId="0" applyFont="1" applyFill="1" applyBorder="1" applyAlignment="1">
      <alignment horizontal="center" vertical="center"/>
    </xf>
    <xf numFmtId="0" fontId="5" fillId="22" borderId="11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18" fillId="23" borderId="1" xfId="0" applyFont="1" applyFill="1" applyBorder="1" applyAlignment="1">
      <alignment horizontal="center" vertical="center"/>
    </xf>
    <xf numFmtId="0" fontId="2" fillId="23" borderId="6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/>
    </xf>
    <xf numFmtId="0" fontId="5" fillId="24" borderId="12" xfId="0" applyFont="1" applyFill="1" applyBorder="1" applyAlignment="1">
      <alignment horizontal="center" vertical="center"/>
    </xf>
    <xf numFmtId="0" fontId="5" fillId="24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0" fillId="0" borderId="0" xfId="0" quotePrefix="1" applyAlignment="1">
      <alignment horizontal="left" vertical="center"/>
    </xf>
    <xf numFmtId="164" fontId="0" fillId="0" borderId="18" xfId="0" applyNumberFormat="1" applyBorder="1" applyAlignment="1">
      <alignment horizontal="right" vertical="center"/>
    </xf>
    <xf numFmtId="165" fontId="0" fillId="0" borderId="16" xfId="0" applyNumberFormat="1" applyBorder="1" applyAlignment="1">
      <alignment horizontal="left" vertical="center"/>
    </xf>
    <xf numFmtId="49" fontId="2" fillId="0" borderId="0" xfId="0" quotePrefix="1" applyNumberFormat="1" applyFont="1" applyAlignment="1">
      <alignment vertical="center"/>
    </xf>
    <xf numFmtId="0" fontId="0" fillId="0" borderId="4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8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0" fillId="25" borderId="0" xfId="0" applyNumberFormat="1" applyFill="1" applyAlignment="1">
      <alignment horizontal="center" vertical="center" wrapText="1"/>
    </xf>
    <xf numFmtId="14" fontId="0" fillId="25" borderId="4" xfId="0" applyNumberFormat="1" applyFill="1" applyBorder="1" applyAlignment="1">
      <alignment horizontal="center" vertical="center" wrapText="1"/>
    </xf>
    <xf numFmtId="0" fontId="0" fillId="25" borderId="0" xfId="0" applyFill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0" fillId="26" borderId="0" xfId="0" applyFill="1" applyAlignment="1">
      <alignment vertical="center"/>
    </xf>
    <xf numFmtId="0" fontId="0" fillId="25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22" fontId="2" fillId="0" borderId="0" xfId="0" applyNumberFormat="1" applyFont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8" fillId="7" borderId="6" xfId="0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3" xfId="0" applyNumberFormat="1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left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/>
    </xf>
    <xf numFmtId="0" fontId="11" fillId="12" borderId="3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49" fontId="8" fillId="10" borderId="2" xfId="0" applyNumberFormat="1" applyFont="1" applyFill="1" applyBorder="1" applyAlignment="1">
      <alignment horizontal="center" vertical="center"/>
    </xf>
    <xf numFmtId="49" fontId="8" fillId="10" borderId="3" xfId="0" applyNumberFormat="1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center" vertical="center"/>
    </xf>
    <xf numFmtId="0" fontId="8" fillId="12" borderId="20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21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12" fillId="12" borderId="6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49" fontId="8" fillId="12" borderId="2" xfId="0" applyNumberFormat="1" applyFont="1" applyFill="1" applyBorder="1" applyAlignment="1">
      <alignment horizontal="center" vertical="center"/>
    </xf>
    <xf numFmtId="49" fontId="8" fillId="12" borderId="3" xfId="0" applyNumberFormat="1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49" fontId="2" fillId="11" borderId="2" xfId="0" applyNumberFormat="1" applyFont="1" applyFill="1" applyBorder="1" applyAlignment="1">
      <alignment horizontal="center" vertical="center"/>
    </xf>
    <xf numFmtId="49" fontId="2" fillId="11" borderId="3" xfId="0" applyNumberFormat="1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vertical="center"/>
    </xf>
    <xf numFmtId="0" fontId="2" fillId="11" borderId="19" xfId="0" applyFont="1" applyFill="1" applyBorder="1" applyAlignment="1">
      <alignment horizontal="center" vertical="center"/>
    </xf>
    <xf numFmtId="0" fontId="2" fillId="11" borderId="21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6" fillId="10" borderId="0" xfId="0" applyFont="1" applyFill="1" applyAlignment="1">
      <alignment horizontal="left" vertical="center"/>
    </xf>
    <xf numFmtId="0" fontId="8" fillId="12" borderId="20" xfId="0" applyFont="1" applyFill="1" applyBorder="1" applyAlignment="1">
      <alignment horizontal="center" vertical="center" wrapText="1"/>
    </xf>
    <xf numFmtId="0" fontId="8" fillId="12" borderId="2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22" fontId="0" fillId="0" borderId="0" xfId="0" applyNumberForma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23" borderId="1" xfId="0" applyFont="1" applyFill="1" applyBorder="1" applyAlignment="1">
      <alignment horizontal="center" vertical="center"/>
    </xf>
    <xf numFmtId="0" fontId="2" fillId="23" borderId="9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/>
    </xf>
    <xf numFmtId="0" fontId="2" fillId="23" borderId="3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/>
    </xf>
    <xf numFmtId="0" fontId="2" fillId="23" borderId="5" xfId="0" applyFont="1" applyFill="1" applyBorder="1" applyAlignment="1">
      <alignment horizontal="center" vertical="center"/>
    </xf>
    <xf numFmtId="0" fontId="18" fillId="23" borderId="1" xfId="0" applyFont="1" applyFill="1" applyBorder="1" applyAlignment="1">
      <alignment horizontal="center" vertical="center"/>
    </xf>
    <xf numFmtId="0" fontId="18" fillId="23" borderId="6" xfId="0" applyFont="1" applyFill="1" applyBorder="1" applyAlignment="1">
      <alignment horizontal="center" vertical="center"/>
    </xf>
    <xf numFmtId="49" fontId="2" fillId="23" borderId="2" xfId="0" applyNumberFormat="1" applyFont="1" applyFill="1" applyBorder="1" applyAlignment="1">
      <alignment horizontal="center" vertical="center"/>
    </xf>
    <xf numFmtId="49" fontId="2" fillId="23" borderId="3" xfId="0" applyNumberFormat="1" applyFont="1" applyFill="1" applyBorder="1" applyAlignment="1">
      <alignment horizontal="center" vertical="center"/>
    </xf>
    <xf numFmtId="0" fontId="2" fillId="23" borderId="7" xfId="0" applyFont="1" applyFill="1" applyBorder="1" applyAlignment="1">
      <alignment horizontal="center" vertical="center"/>
    </xf>
    <xf numFmtId="0" fontId="2" fillId="23" borderId="8" xfId="0" applyFont="1" applyFill="1" applyBorder="1" applyAlignment="1">
      <alignment horizontal="center" vertical="center"/>
    </xf>
    <xf numFmtId="0" fontId="8" fillId="21" borderId="1" xfId="0" applyFont="1" applyFill="1" applyBorder="1" applyAlignment="1">
      <alignment horizontal="center" vertical="center"/>
    </xf>
    <xf numFmtId="0" fontId="8" fillId="21" borderId="9" xfId="0" applyFont="1" applyFill="1" applyBorder="1" applyAlignment="1">
      <alignment horizontal="center" vertical="center" wrapText="1"/>
    </xf>
    <xf numFmtId="0" fontId="8" fillId="21" borderId="2" xfId="0" applyFont="1" applyFill="1" applyBorder="1" applyAlignment="1">
      <alignment horizontal="center" vertical="center"/>
    </xf>
    <xf numFmtId="0" fontId="8" fillId="21" borderId="3" xfId="0" applyFont="1" applyFill="1" applyBorder="1" applyAlignment="1">
      <alignment horizontal="center" vertical="center"/>
    </xf>
    <xf numFmtId="0" fontId="8" fillId="21" borderId="1" xfId="0" applyFont="1" applyFill="1" applyBorder="1" applyAlignment="1">
      <alignment horizontal="center" vertical="center" wrapText="1"/>
    </xf>
    <xf numFmtId="0" fontId="8" fillId="21" borderId="9" xfId="0" applyFont="1" applyFill="1" applyBorder="1" applyAlignment="1">
      <alignment horizontal="center" vertical="center"/>
    </xf>
    <xf numFmtId="0" fontId="8" fillId="21" borderId="5" xfId="0" applyFont="1" applyFill="1" applyBorder="1" applyAlignment="1">
      <alignment horizontal="center" vertical="center"/>
    </xf>
    <xf numFmtId="0" fontId="17" fillId="21" borderId="1" xfId="0" applyFont="1" applyFill="1" applyBorder="1" applyAlignment="1">
      <alignment horizontal="center" vertical="center"/>
    </xf>
    <xf numFmtId="0" fontId="17" fillId="21" borderId="6" xfId="0" applyFont="1" applyFill="1" applyBorder="1" applyAlignment="1">
      <alignment horizontal="center" vertical="center"/>
    </xf>
    <xf numFmtId="49" fontId="8" fillId="21" borderId="2" xfId="0" applyNumberFormat="1" applyFont="1" applyFill="1" applyBorder="1" applyAlignment="1">
      <alignment horizontal="center" vertical="center"/>
    </xf>
    <xf numFmtId="49" fontId="8" fillId="21" borderId="3" xfId="0" applyNumberFormat="1" applyFont="1" applyFill="1" applyBorder="1" applyAlignment="1">
      <alignment horizontal="center" vertical="center"/>
    </xf>
    <xf numFmtId="0" fontId="8" fillId="21" borderId="7" xfId="0" applyFont="1" applyFill="1" applyBorder="1" applyAlignment="1">
      <alignment horizontal="center" vertical="center"/>
    </xf>
    <xf numFmtId="0" fontId="8" fillId="21" borderId="8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0" fontId="8" fillId="20" borderId="9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/>
    </xf>
    <xf numFmtId="0" fontId="8" fillId="20" borderId="3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 wrapText="1"/>
    </xf>
    <xf numFmtId="0" fontId="8" fillId="20" borderId="9" xfId="0" applyFont="1" applyFill="1" applyBorder="1" applyAlignment="1">
      <alignment horizontal="center" vertical="center"/>
    </xf>
    <xf numFmtId="0" fontId="8" fillId="20" borderId="5" xfId="0" applyFont="1" applyFill="1" applyBorder="1" applyAlignment="1">
      <alignment horizontal="center" vertical="center"/>
    </xf>
    <xf numFmtId="0" fontId="17" fillId="20" borderId="1" xfId="0" applyFont="1" applyFill="1" applyBorder="1" applyAlignment="1">
      <alignment horizontal="center" vertical="center"/>
    </xf>
    <xf numFmtId="0" fontId="17" fillId="20" borderId="6" xfId="0" applyFont="1" applyFill="1" applyBorder="1" applyAlignment="1">
      <alignment horizontal="center" vertical="center"/>
    </xf>
    <xf numFmtId="49" fontId="8" fillId="20" borderId="2" xfId="0" applyNumberFormat="1" applyFont="1" applyFill="1" applyBorder="1" applyAlignment="1">
      <alignment horizontal="center" vertical="center"/>
    </xf>
    <xf numFmtId="49" fontId="8" fillId="20" borderId="3" xfId="0" applyNumberFormat="1" applyFont="1" applyFill="1" applyBorder="1" applyAlignment="1">
      <alignment horizontal="center" vertical="center"/>
    </xf>
    <xf numFmtId="0" fontId="8" fillId="20" borderId="7" xfId="0" applyFont="1" applyFill="1" applyBorder="1" applyAlignment="1">
      <alignment horizontal="center" vertical="center"/>
    </xf>
    <xf numFmtId="0" fontId="8" fillId="20" borderId="8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 wrapText="1"/>
    </xf>
    <xf numFmtId="0" fontId="8" fillId="15" borderId="5" xfId="0" applyFont="1" applyFill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/>
    </xf>
    <xf numFmtId="0" fontId="17" fillId="15" borderId="6" xfId="0" applyFont="1" applyFill="1" applyBorder="1" applyAlignment="1">
      <alignment horizontal="center" vertical="center"/>
    </xf>
    <xf numFmtId="0" fontId="16" fillId="14" borderId="0" xfId="0" applyFont="1" applyFill="1" applyAlignment="1">
      <alignment horizontal="left" vertical="center"/>
    </xf>
    <xf numFmtId="0" fontId="8" fillId="15" borderId="1" xfId="0" applyFont="1" applyFill="1" applyBorder="1" applyAlignment="1">
      <alignment horizontal="center" vertical="center"/>
    </xf>
    <xf numFmtId="49" fontId="8" fillId="15" borderId="2" xfId="0" applyNumberFormat="1" applyFont="1" applyFill="1" applyBorder="1" applyAlignment="1">
      <alignment horizontal="center" vertical="center"/>
    </xf>
    <xf numFmtId="49" fontId="8" fillId="15" borderId="3" xfId="0" applyNumberFormat="1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8" fillId="17" borderId="9" xfId="0" applyFont="1" applyFill="1" applyBorder="1" applyAlignment="1">
      <alignment horizontal="center" vertical="center"/>
    </xf>
    <xf numFmtId="49" fontId="8" fillId="17" borderId="2" xfId="0" applyNumberFormat="1" applyFont="1" applyFill="1" applyBorder="1" applyAlignment="1">
      <alignment horizontal="center" vertical="center"/>
    </xf>
    <xf numFmtId="49" fontId="8" fillId="17" borderId="3" xfId="0" applyNumberFormat="1" applyFont="1" applyFill="1" applyBorder="1" applyAlignment="1">
      <alignment horizontal="center" vertical="center"/>
    </xf>
    <xf numFmtId="0" fontId="8" fillId="17" borderId="7" xfId="0" applyFont="1" applyFill="1" applyBorder="1" applyAlignment="1">
      <alignment horizontal="center" vertical="center"/>
    </xf>
    <xf numFmtId="0" fontId="8" fillId="17" borderId="8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/>
    </xf>
    <xf numFmtId="0" fontId="8" fillId="18" borderId="9" xfId="0" applyFont="1" applyFill="1" applyBorder="1" applyAlignment="1">
      <alignment horizontal="center" vertical="center"/>
    </xf>
    <xf numFmtId="49" fontId="8" fillId="18" borderId="2" xfId="0" applyNumberFormat="1" applyFont="1" applyFill="1" applyBorder="1" applyAlignment="1">
      <alignment horizontal="center" vertical="center"/>
    </xf>
    <xf numFmtId="49" fontId="8" fillId="18" borderId="3" xfId="0" applyNumberFormat="1" applyFont="1" applyFill="1" applyBorder="1" applyAlignment="1">
      <alignment horizontal="center" vertical="center"/>
    </xf>
    <xf numFmtId="0" fontId="8" fillId="18" borderId="7" xfId="0" applyFont="1" applyFill="1" applyBorder="1" applyAlignment="1">
      <alignment horizontal="center" vertical="center"/>
    </xf>
    <xf numFmtId="0" fontId="8" fillId="18" borderId="8" xfId="0" applyFont="1" applyFill="1" applyBorder="1" applyAlignment="1">
      <alignment horizontal="center" vertical="center"/>
    </xf>
    <xf numFmtId="0" fontId="8" fillId="18" borderId="5" xfId="0" applyFont="1" applyFill="1" applyBorder="1" applyAlignment="1">
      <alignment horizontal="center" vertical="center"/>
    </xf>
    <xf numFmtId="0" fontId="17" fillId="18" borderId="1" xfId="0" applyFont="1" applyFill="1" applyBorder="1" applyAlignment="1">
      <alignment horizontal="center" vertical="center"/>
    </xf>
    <xf numFmtId="0" fontId="17" fillId="18" borderId="6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17" fillId="17" borderId="6" xfId="0" applyFont="1" applyFill="1" applyBorder="1" applyAlignment="1">
      <alignment horizontal="center" vertical="center"/>
    </xf>
    <xf numFmtId="0" fontId="8" fillId="17" borderId="9" xfId="0" applyFont="1" applyFill="1" applyBorder="1" applyAlignment="1">
      <alignment horizontal="center" vertical="center" wrapText="1"/>
    </xf>
    <xf numFmtId="0" fontId="8" fillId="18" borderId="9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7F8"/>
      <color rgb="FFFFF4F8"/>
      <color rgb="FFDE4D81"/>
      <color rgb="FFF8FFFD"/>
      <color rgb="FFB1DE85"/>
      <color rgb="FFFCFFE6"/>
      <color rgb="FFF1FFDF"/>
      <color rgb="FFDEC370"/>
      <color rgb="FFDE8A67"/>
      <color rgb="FFA13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AC66-2B39-3C42-B16A-096E022B037A}">
  <dimension ref="A1:C27"/>
  <sheetViews>
    <sheetView topLeftCell="A14" zoomScale="170" zoomScaleNormal="170" workbookViewId="0">
      <selection activeCell="B22" sqref="B22"/>
    </sheetView>
  </sheetViews>
  <sheetFormatPr defaultColWidth="10.6640625" defaultRowHeight="15.5" x14ac:dyDescent="0.35"/>
  <cols>
    <col min="1" max="1" width="19.1640625" style="6" bestFit="1" customWidth="1"/>
    <col min="2" max="2" width="22" style="2" bestFit="1" customWidth="1"/>
    <col min="3" max="3" width="14.83203125" bestFit="1" customWidth="1"/>
  </cols>
  <sheetData>
    <row r="1" spans="1:3" x14ac:dyDescent="0.35">
      <c r="A1" s="6" t="s">
        <v>0</v>
      </c>
    </row>
    <row r="2" spans="1:3" x14ac:dyDescent="0.35">
      <c r="A2" s="7">
        <f ca="1">NOW()</f>
        <v>45573.481386574073</v>
      </c>
    </row>
    <row r="4" spans="1:3" x14ac:dyDescent="0.35">
      <c r="A4" s="10"/>
      <c r="B4" s="11"/>
    </row>
    <row r="6" spans="1:3" x14ac:dyDescent="0.35">
      <c r="A6" s="8" t="s">
        <v>7</v>
      </c>
    </row>
    <row r="8" spans="1:3" x14ac:dyDescent="0.35">
      <c r="A8" s="6" t="s">
        <v>1</v>
      </c>
      <c r="B8" s="3">
        <v>34649</v>
      </c>
      <c r="C8" s="1" t="s">
        <v>11</v>
      </c>
    </row>
    <row r="9" spans="1:3" x14ac:dyDescent="0.35">
      <c r="A9" s="6" t="s">
        <v>2</v>
      </c>
      <c r="B9" s="4">
        <f ca="1">YEARFRAC($A$2,B8)</f>
        <v>29.908333333333335</v>
      </c>
    </row>
    <row r="11" spans="1:3" x14ac:dyDescent="0.35">
      <c r="A11" s="6" t="s">
        <v>3</v>
      </c>
      <c r="B11" s="2">
        <f ca="1">DATEDIF(B8,A2,"Y")</f>
        <v>29</v>
      </c>
    </row>
    <row r="12" spans="1:3" x14ac:dyDescent="0.35">
      <c r="A12" s="6" t="s">
        <v>4</v>
      </c>
      <c r="B12" s="2">
        <f ca="1">DATEDIF(B8,A2,"YM")</f>
        <v>10</v>
      </c>
    </row>
    <row r="13" spans="1:3" x14ac:dyDescent="0.35">
      <c r="A13" s="6" t="s">
        <v>5</v>
      </c>
      <c r="B13" s="2">
        <f ca="1">DATEDIF(B8,A2,"MD")</f>
        <v>27</v>
      </c>
    </row>
    <row r="15" spans="1:3" x14ac:dyDescent="0.35">
      <c r="A15" s="6" t="s">
        <v>6</v>
      </c>
      <c r="B15" s="5" t="str">
        <f ca="1">(DATEDIF(B8,A2,"Y") &amp;" Tahun, "&amp;DATEDIF(B8,A2,"YM")&amp;" Bulan, "&amp;DATEDIF(B8,A2,"MD")&amp;" Hari")</f>
        <v>29 Tahun, 10 Bulan, 27 Hari</v>
      </c>
    </row>
    <row r="17" spans="1:2" x14ac:dyDescent="0.35">
      <c r="A17" s="10"/>
      <c r="B17" s="11"/>
    </row>
    <row r="19" spans="1:2" x14ac:dyDescent="0.35">
      <c r="A19" s="8" t="s">
        <v>8</v>
      </c>
    </row>
    <row r="20" spans="1:2" x14ac:dyDescent="0.35">
      <c r="A20" s="8"/>
    </row>
    <row r="21" spans="1:2" x14ac:dyDescent="0.35">
      <c r="A21" s="9" t="s">
        <v>0</v>
      </c>
      <c r="B21" s="3">
        <v>45560</v>
      </c>
    </row>
    <row r="22" spans="1:2" x14ac:dyDescent="0.35">
      <c r="B22" s="3"/>
    </row>
    <row r="23" spans="1:2" x14ac:dyDescent="0.35">
      <c r="A23" s="9" t="s">
        <v>9</v>
      </c>
      <c r="B23" s="3">
        <v>36295</v>
      </c>
    </row>
    <row r="25" spans="1:2" x14ac:dyDescent="0.35">
      <c r="A25" s="8" t="s">
        <v>10</v>
      </c>
      <c r="B25" s="2" t="str">
        <f>DATEDIF(B23,B21,"Y") &amp;" Tahun, "&amp;DATEDIF(B23,B21,"YM")&amp;" Bulan, "&amp;DATEDIF(B23,B21,"MD")&amp; " Hari"</f>
        <v>25 Tahun, 4 Bulan, 10 Hari</v>
      </c>
    </row>
    <row r="27" spans="1:2" x14ac:dyDescent="0.35">
      <c r="B27" s="2" t="s">
        <v>1140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4CD49-530D-9A4F-BEDE-CAB04F04B927}">
  <sheetPr>
    <pageSetUpPr fitToPage="1"/>
  </sheetPr>
  <dimension ref="A1:F22"/>
  <sheetViews>
    <sheetView zoomScale="130" zoomScaleNormal="130" workbookViewId="0">
      <selection activeCell="A17" sqref="A17:F17"/>
    </sheetView>
  </sheetViews>
  <sheetFormatPr defaultColWidth="10.83203125" defaultRowHeight="15.5" x14ac:dyDescent="0.35"/>
  <cols>
    <col min="1" max="2" width="3.33203125" style="12" customWidth="1"/>
    <col min="3" max="3" width="54.1640625" style="12" customWidth="1"/>
    <col min="4" max="4" width="10.83203125" style="12"/>
    <col min="5" max="5" width="32.33203125" style="12" bestFit="1" customWidth="1"/>
    <col min="6" max="6" width="33.83203125" style="12" bestFit="1" customWidth="1"/>
    <col min="7" max="16384" width="10.83203125" style="12"/>
  </cols>
  <sheetData>
    <row r="1" spans="1:6" ht="18.5" x14ac:dyDescent="0.35">
      <c r="A1" s="179" t="s">
        <v>269</v>
      </c>
      <c r="B1" s="179"/>
      <c r="C1" s="179"/>
      <c r="D1" s="179"/>
      <c r="E1" s="179"/>
      <c r="F1" s="179"/>
    </row>
    <row r="2" spans="1:6" ht="18.5" x14ac:dyDescent="0.35">
      <c r="A2" s="179" t="s">
        <v>44</v>
      </c>
      <c r="B2" s="179"/>
      <c r="C2" s="179"/>
      <c r="D2" s="179"/>
      <c r="E2" s="179"/>
      <c r="F2" s="179"/>
    </row>
    <row r="3" spans="1:6" x14ac:dyDescent="0.35">
      <c r="A3" s="48"/>
    </row>
    <row r="4" spans="1:6" x14ac:dyDescent="0.35">
      <c r="A4" s="176" t="s">
        <v>270</v>
      </c>
      <c r="B4" s="176"/>
      <c r="C4" s="176"/>
      <c r="D4" s="176"/>
      <c r="E4" s="94" t="str">
        <f>Dosen!B72</f>
        <v>Dr. Abdul Rasyid Zarta, S.Hut., M.P.</v>
      </c>
      <c r="F4" s="94" t="str">
        <f>Dosen!B21</f>
        <v>Dwinita Aquastini, S.Hut., M.P.</v>
      </c>
    </row>
    <row r="5" spans="1:6" x14ac:dyDescent="0.35">
      <c r="A5" s="171"/>
      <c r="B5" s="156">
        <v>1</v>
      </c>
      <c r="C5" s="157" t="s">
        <v>273</v>
      </c>
      <c r="D5" s="156" t="s">
        <v>286</v>
      </c>
      <c r="E5" s="156" t="str">
        <f>Dosen!B23</f>
        <v>Ir. Noorhamsyah, M.P.</v>
      </c>
      <c r="F5" s="173"/>
    </row>
    <row r="6" spans="1:6" x14ac:dyDescent="0.35">
      <c r="A6" s="171"/>
      <c r="B6" s="156">
        <v>2</v>
      </c>
      <c r="C6" s="157" t="s">
        <v>271</v>
      </c>
      <c r="D6" s="156" t="s">
        <v>286</v>
      </c>
      <c r="E6" s="156" t="str">
        <f>Dosen!B37</f>
        <v>Dr. Erina Hertianti, S.Hut., M.P.</v>
      </c>
      <c r="F6" s="174"/>
    </row>
    <row r="7" spans="1:6" x14ac:dyDescent="0.35">
      <c r="A7" s="171"/>
      <c r="B7" s="156">
        <v>3</v>
      </c>
      <c r="C7" s="157" t="s">
        <v>274</v>
      </c>
      <c r="D7" s="156" t="s">
        <v>286</v>
      </c>
      <c r="E7" s="156" t="str">
        <f>Dosen!B53</f>
        <v>Dr. Taufiq Rinda Alkas, S.Si., M.Pd.</v>
      </c>
      <c r="F7" s="174"/>
    </row>
    <row r="8" spans="1:6" x14ac:dyDescent="0.35">
      <c r="A8" s="171"/>
      <c r="B8" s="156">
        <v>4</v>
      </c>
      <c r="C8" s="157" t="s">
        <v>272</v>
      </c>
      <c r="D8" s="94" t="s">
        <v>287</v>
      </c>
      <c r="E8" s="156" t="str">
        <f>Dosen!B68</f>
        <v>Dr. Ir. Syafi'I, M.P.</v>
      </c>
      <c r="F8" s="174"/>
    </row>
    <row r="9" spans="1:6" ht="31" customHeight="1" x14ac:dyDescent="0.35">
      <c r="A9" s="171"/>
      <c r="B9" s="156">
        <v>5</v>
      </c>
      <c r="C9" s="158" t="s">
        <v>276</v>
      </c>
      <c r="D9" s="94" t="s">
        <v>287</v>
      </c>
      <c r="E9" s="156" t="str">
        <f>Dosen!B88</f>
        <v>Kemala Hadidjah, S.T., M.Si.</v>
      </c>
      <c r="F9" s="175"/>
    </row>
    <row r="10" spans="1:6" x14ac:dyDescent="0.35">
      <c r="A10" s="172"/>
      <c r="B10" s="172"/>
      <c r="C10" s="172"/>
      <c r="D10" s="172"/>
      <c r="E10" s="172"/>
      <c r="F10" s="172"/>
    </row>
    <row r="11" spans="1:6" x14ac:dyDescent="0.35">
      <c r="A11" s="177" t="s">
        <v>275</v>
      </c>
      <c r="B11" s="177"/>
      <c r="C11" s="177"/>
      <c r="D11" s="177"/>
      <c r="E11" s="94" t="str">
        <f>Dosen!B125</f>
        <v>Mujibu Rahman, S.TP., M.Si.</v>
      </c>
      <c r="F11" s="94" t="str">
        <f>Dosen!B140</f>
        <v>Zainal Abidin, S.ST., M.P.</v>
      </c>
    </row>
    <row r="12" spans="1:6" x14ac:dyDescent="0.35">
      <c r="A12" s="171"/>
      <c r="B12" s="156">
        <v>1</v>
      </c>
      <c r="C12" s="157" t="s">
        <v>277</v>
      </c>
      <c r="D12" s="156" t="s">
        <v>286</v>
      </c>
      <c r="E12" s="156" t="str">
        <f>Dosen!B138</f>
        <v>Roby, S.P., M.P.</v>
      </c>
      <c r="F12" s="171"/>
    </row>
    <row r="13" spans="1:6" x14ac:dyDescent="0.35">
      <c r="A13" s="171"/>
      <c r="B13" s="156">
        <v>2</v>
      </c>
      <c r="C13" s="157" t="s">
        <v>278</v>
      </c>
      <c r="D13" s="156" t="s">
        <v>286</v>
      </c>
      <c r="E13" s="156" t="str">
        <f>Dosen!B107</f>
        <v>Elisa Ginsel Popang, S.TP., M.Sc.</v>
      </c>
      <c r="F13" s="171"/>
    </row>
    <row r="14" spans="1:6" x14ac:dyDescent="0.35">
      <c r="A14" s="171"/>
      <c r="B14" s="156">
        <v>3</v>
      </c>
      <c r="C14" s="157" t="s">
        <v>279</v>
      </c>
      <c r="D14" s="94" t="s">
        <v>287</v>
      </c>
      <c r="E14" s="156" t="str">
        <f>Dosen!B154</f>
        <v>Dr. Sukariyan, S.Hut., M.P.</v>
      </c>
      <c r="F14" s="171"/>
    </row>
    <row r="15" spans="1:6" x14ac:dyDescent="0.35">
      <c r="A15" s="171"/>
      <c r="B15" s="156">
        <v>4</v>
      </c>
      <c r="C15" s="157" t="s">
        <v>280</v>
      </c>
      <c r="D15" s="94" t="s">
        <v>287</v>
      </c>
      <c r="E15" s="156" t="str">
        <f>Dosen!B173</f>
        <v>La Mudi, S.P., M.P.</v>
      </c>
      <c r="F15" s="171"/>
    </row>
    <row r="16" spans="1:6" x14ac:dyDescent="0.35">
      <c r="A16" s="171"/>
      <c r="B16" s="156">
        <v>5</v>
      </c>
      <c r="C16" s="157" t="s">
        <v>1137</v>
      </c>
      <c r="D16" s="94" t="s">
        <v>287</v>
      </c>
      <c r="E16" s="156" t="str">
        <f>Dosen!B121</f>
        <v>Dr. Ahmad Zamroni, S.Hut., M.P.</v>
      </c>
      <c r="F16" s="171"/>
    </row>
    <row r="17" spans="1:6" x14ac:dyDescent="0.35">
      <c r="A17" s="172"/>
      <c r="B17" s="172"/>
      <c r="C17" s="172"/>
      <c r="D17" s="172"/>
      <c r="E17" s="172"/>
      <c r="F17" s="172"/>
    </row>
    <row r="18" spans="1:6" x14ac:dyDescent="0.35">
      <c r="A18" s="178" t="s">
        <v>281</v>
      </c>
      <c r="B18" s="178"/>
      <c r="C18" s="178"/>
      <c r="D18" s="178"/>
      <c r="E18" s="94" t="str">
        <f>Dosen!B199</f>
        <v>Dr. Suswanto, M.Pd.</v>
      </c>
      <c r="F18" s="94" t="str">
        <f>Dosen!B208</f>
        <v>Ida Maratul Khamidah, S.Kom., M.Cs.</v>
      </c>
    </row>
    <row r="19" spans="1:6" x14ac:dyDescent="0.35">
      <c r="A19" s="171"/>
      <c r="B19" s="156">
        <v>1</v>
      </c>
      <c r="C19" s="157" t="s">
        <v>282</v>
      </c>
      <c r="D19" s="156" t="s">
        <v>286</v>
      </c>
      <c r="E19" s="156" t="str">
        <f>Dosen!B189</f>
        <v>A Arifin Itsnani S M, S.Si., M.T.</v>
      </c>
      <c r="F19" s="171"/>
    </row>
    <row r="20" spans="1:6" x14ac:dyDescent="0.35">
      <c r="A20" s="171"/>
      <c r="B20" s="156">
        <v>2</v>
      </c>
      <c r="C20" s="157" t="s">
        <v>283</v>
      </c>
      <c r="D20" s="94" t="s">
        <v>287</v>
      </c>
      <c r="E20" s="156" t="str">
        <f>Dosen!B203</f>
        <v>Eny Maria, M.Cs.</v>
      </c>
      <c r="F20" s="171"/>
    </row>
    <row r="21" spans="1:6" x14ac:dyDescent="0.35">
      <c r="A21" s="171"/>
      <c r="B21" s="156">
        <v>3</v>
      </c>
      <c r="C21" s="157" t="s">
        <v>284</v>
      </c>
      <c r="D21" s="94" t="s">
        <v>287</v>
      </c>
      <c r="E21" s="156" t="str">
        <f>Dosen!B221</f>
        <v>Dawamul Arifin, S.T., M.T.</v>
      </c>
      <c r="F21" s="171"/>
    </row>
    <row r="22" spans="1:6" x14ac:dyDescent="0.35">
      <c r="A22" s="171"/>
      <c r="B22" s="156">
        <v>4</v>
      </c>
      <c r="C22" s="157" t="s">
        <v>285</v>
      </c>
      <c r="D22" s="156" t="s">
        <v>286</v>
      </c>
      <c r="E22" s="156" t="str">
        <f>Dosen!B235</f>
        <v>Emil Riza Putra, S.Kom., S.E., M.Kom.</v>
      </c>
      <c r="F22" s="171"/>
    </row>
  </sheetData>
  <mergeCells count="13">
    <mergeCell ref="A4:D4"/>
    <mergeCell ref="A11:D11"/>
    <mergeCell ref="A18:D18"/>
    <mergeCell ref="A1:F1"/>
    <mergeCell ref="A2:F2"/>
    <mergeCell ref="F12:F16"/>
    <mergeCell ref="F19:F22"/>
    <mergeCell ref="A17:F17"/>
    <mergeCell ref="A10:F10"/>
    <mergeCell ref="A5:A9"/>
    <mergeCell ref="A12:A16"/>
    <mergeCell ref="A19:A22"/>
    <mergeCell ref="F5:F9"/>
  </mergeCells>
  <pageMargins left="0.7" right="0.7" top="0.75" bottom="0.75" header="0.3" footer="0.3"/>
  <pageSetup paperSize="9" scale="8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082A4-1A4B-DB49-8603-31A31332D083}">
  <sheetPr>
    <tabColor theme="5" tint="0.79998168889431442"/>
  </sheetPr>
  <dimension ref="A1:X54"/>
  <sheetViews>
    <sheetView zoomScale="140" zoomScaleNormal="140" workbookViewId="0">
      <selection activeCell="B7" sqref="B7:B8"/>
    </sheetView>
  </sheetViews>
  <sheetFormatPr defaultColWidth="10.83203125" defaultRowHeight="15.5" x14ac:dyDescent="0.35"/>
  <cols>
    <col min="1" max="1" width="5" style="12" customWidth="1"/>
    <col min="2" max="2" width="37.33203125" style="15" bestFit="1" customWidth="1"/>
    <col min="3" max="3" width="20.5" style="33" bestFit="1" customWidth="1"/>
    <col min="4" max="4" width="11.83203125" style="12" bestFit="1" customWidth="1"/>
    <col min="5" max="5" width="35.33203125" style="12" bestFit="1" customWidth="1"/>
    <col min="6" max="6" width="15.83203125" style="12" bestFit="1" customWidth="1"/>
    <col min="7" max="7" width="14.83203125" style="12" bestFit="1" customWidth="1"/>
    <col min="8" max="8" width="23.33203125" style="12" bestFit="1" customWidth="1"/>
    <col min="9" max="10" width="8.33203125" style="12" bestFit="1" customWidth="1"/>
    <col min="11" max="11" width="27.5" style="12" bestFit="1" customWidth="1"/>
    <col min="12" max="12" width="16.6640625" style="12" bestFit="1" customWidth="1"/>
    <col min="13" max="13" width="11.1640625" style="12" bestFit="1" customWidth="1"/>
    <col min="14" max="14" width="23.33203125" style="12" bestFit="1" customWidth="1"/>
    <col min="15" max="15" width="7.33203125" style="12" bestFit="1" customWidth="1"/>
    <col min="16" max="16" width="7" style="12" bestFit="1" customWidth="1"/>
    <col min="17" max="17" width="11.1640625" style="12" bestFit="1" customWidth="1"/>
    <col min="18" max="18" width="6.33203125" style="12" bestFit="1" customWidth="1"/>
    <col min="19" max="19" width="13.83203125" style="12" bestFit="1" customWidth="1"/>
    <col min="20" max="20" width="7.83203125" style="12" bestFit="1" customWidth="1"/>
    <col min="21" max="21" width="24.33203125" style="12" bestFit="1" customWidth="1"/>
    <col min="22" max="22" width="69.5" style="12" bestFit="1" customWidth="1"/>
    <col min="23" max="23" width="13" style="12" bestFit="1" customWidth="1"/>
    <col min="24" max="24" width="14.5" style="12" bestFit="1" customWidth="1"/>
    <col min="25" max="16384" width="10.83203125" style="15"/>
  </cols>
  <sheetData>
    <row r="1" spans="1:24" ht="26" x14ac:dyDescent="0.35">
      <c r="A1" s="191" t="s">
        <v>44</v>
      </c>
      <c r="B1" s="191"/>
      <c r="C1" s="191"/>
      <c r="D1" s="191"/>
    </row>
    <row r="3" spans="1:24" ht="21" x14ac:dyDescent="0.35">
      <c r="A3" s="192" t="s">
        <v>12</v>
      </c>
      <c r="B3" s="192"/>
      <c r="C3" s="28"/>
      <c r="D3" s="17"/>
    </row>
    <row r="4" spans="1:24" x14ac:dyDescent="0.35">
      <c r="A4" s="183" t="s">
        <v>43</v>
      </c>
      <c r="B4" s="183"/>
      <c r="C4" s="29"/>
      <c r="D4" s="13"/>
    </row>
    <row r="5" spans="1:24" x14ac:dyDescent="0.35">
      <c r="A5" s="195">
        <f ca="1">NOW()</f>
        <v>45573.481386574073</v>
      </c>
      <c r="B5" s="183"/>
      <c r="C5" s="183"/>
      <c r="D5" s="183"/>
    </row>
    <row r="7" spans="1:24" s="13" customFormat="1" ht="17" customHeight="1" x14ac:dyDescent="0.35">
      <c r="A7" s="184" t="s">
        <v>13</v>
      </c>
      <c r="B7" s="185" t="s">
        <v>14</v>
      </c>
      <c r="C7" s="193" t="s">
        <v>19</v>
      </c>
      <c r="D7" s="186" t="s">
        <v>15</v>
      </c>
      <c r="E7" s="184" t="s">
        <v>18</v>
      </c>
      <c r="F7" s="188" t="s">
        <v>16</v>
      </c>
      <c r="G7" s="184" t="s">
        <v>17</v>
      </c>
      <c r="H7" s="182" t="s">
        <v>36</v>
      </c>
      <c r="I7" s="201" t="s">
        <v>30</v>
      </c>
      <c r="J7" s="202"/>
      <c r="K7" s="189" t="s">
        <v>1215</v>
      </c>
      <c r="L7" s="180" t="s">
        <v>268</v>
      </c>
      <c r="M7" s="184" t="s">
        <v>20</v>
      </c>
      <c r="N7" s="182" t="s">
        <v>21</v>
      </c>
      <c r="O7" s="199" t="s">
        <v>29</v>
      </c>
      <c r="P7" s="200"/>
      <c r="Q7" s="184" t="s">
        <v>22</v>
      </c>
      <c r="R7" s="188" t="s">
        <v>23</v>
      </c>
      <c r="S7" s="14" t="s">
        <v>31</v>
      </c>
      <c r="T7" s="198" t="s">
        <v>25</v>
      </c>
      <c r="U7" s="184" t="s">
        <v>26</v>
      </c>
      <c r="V7" s="188" t="s">
        <v>27</v>
      </c>
      <c r="W7" s="196" t="s">
        <v>42</v>
      </c>
      <c r="X7" s="184" t="s">
        <v>28</v>
      </c>
    </row>
    <row r="8" spans="1:24" s="13" customFormat="1" x14ac:dyDescent="0.35">
      <c r="A8" s="184"/>
      <c r="B8" s="185"/>
      <c r="C8" s="194"/>
      <c r="D8" s="187"/>
      <c r="E8" s="184"/>
      <c r="F8" s="188"/>
      <c r="G8" s="184"/>
      <c r="H8" s="182"/>
      <c r="I8" s="14" t="s">
        <v>3</v>
      </c>
      <c r="J8" s="19" t="s">
        <v>4</v>
      </c>
      <c r="K8" s="190"/>
      <c r="L8" s="181"/>
      <c r="M8" s="184"/>
      <c r="N8" s="188"/>
      <c r="O8" s="14" t="s">
        <v>3</v>
      </c>
      <c r="P8" s="20" t="s">
        <v>4</v>
      </c>
      <c r="Q8" s="184"/>
      <c r="R8" s="188"/>
      <c r="S8" s="14" t="s">
        <v>24</v>
      </c>
      <c r="T8" s="198"/>
      <c r="U8" s="184"/>
      <c r="V8" s="188"/>
      <c r="W8" s="197"/>
      <c r="X8" s="184"/>
    </row>
    <row r="9" spans="1:24" s="22" customFormat="1" ht="16" thickBot="1" x14ac:dyDescent="0.4">
      <c r="A9" s="23">
        <v>1</v>
      </c>
      <c r="B9" s="24">
        <v>2</v>
      </c>
      <c r="C9" s="30">
        <v>3</v>
      </c>
      <c r="D9" s="25">
        <v>4</v>
      </c>
      <c r="E9" s="23">
        <v>5</v>
      </c>
      <c r="F9" s="25">
        <v>6</v>
      </c>
      <c r="G9" s="23">
        <v>7</v>
      </c>
      <c r="H9" s="26">
        <v>8</v>
      </c>
      <c r="I9" s="23">
        <v>9</v>
      </c>
      <c r="J9" s="24">
        <v>10</v>
      </c>
      <c r="K9" s="23">
        <v>11</v>
      </c>
      <c r="L9" s="24">
        <v>12</v>
      </c>
      <c r="M9" s="23">
        <v>13</v>
      </c>
      <c r="N9" s="24">
        <v>14</v>
      </c>
      <c r="O9" s="23">
        <v>15</v>
      </c>
      <c r="P9" s="24">
        <v>16</v>
      </c>
      <c r="Q9" s="23">
        <v>17</v>
      </c>
      <c r="R9" s="24">
        <v>18</v>
      </c>
      <c r="S9" s="23">
        <v>19</v>
      </c>
      <c r="T9" s="24">
        <v>20</v>
      </c>
      <c r="U9" s="23">
        <v>21</v>
      </c>
      <c r="V9" s="24">
        <v>22</v>
      </c>
      <c r="W9" s="23">
        <v>23</v>
      </c>
      <c r="X9" s="24">
        <v>24</v>
      </c>
    </row>
    <row r="10" spans="1:24" ht="16" thickTop="1" x14ac:dyDescent="0.35">
      <c r="A10" s="18">
        <v>1</v>
      </c>
      <c r="B10" s="15" t="s">
        <v>32</v>
      </c>
      <c r="C10" s="34" t="s">
        <v>85</v>
      </c>
      <c r="D10" s="12" t="s">
        <v>33</v>
      </c>
      <c r="E10" s="18" t="s">
        <v>34</v>
      </c>
      <c r="F10" s="12" t="s">
        <v>35</v>
      </c>
      <c r="G10" s="21">
        <v>25642</v>
      </c>
      <c r="H10" s="16">
        <v>34243</v>
      </c>
      <c r="I10" s="27">
        <f ca="1">DATEDIF(H10,$A$5,"Y")</f>
        <v>31</v>
      </c>
      <c r="J10" s="12">
        <f ca="1">DATEDIF(H10,$A$5,"YM")</f>
        <v>0</v>
      </c>
      <c r="K10" s="27" t="s">
        <v>914</v>
      </c>
      <c r="L10" s="27" t="s">
        <v>1211</v>
      </c>
      <c r="M10" s="18" t="s">
        <v>37</v>
      </c>
      <c r="N10" s="16">
        <v>43556</v>
      </c>
      <c r="O10" s="18">
        <v>20</v>
      </c>
      <c r="P10" s="12">
        <v>6</v>
      </c>
      <c r="Q10" s="18" t="s">
        <v>38</v>
      </c>
      <c r="S10" s="18" t="s">
        <v>39</v>
      </c>
      <c r="T10" s="12" t="s">
        <v>40</v>
      </c>
      <c r="U10" s="18" t="str">
        <f ca="1">DATEDIF(G10,$A$5,"Y") &amp;" Tahun, "&amp;DATEDIF(G10,$A$5,"YM") &amp;" Bulan, "&amp;DATEDIF(G10,$A$5,"MD") &amp;" Hari"</f>
        <v>54 Tahun, 6 Bulan, 23 Hari</v>
      </c>
      <c r="V10" s="12" t="s">
        <v>41</v>
      </c>
      <c r="W10" s="21">
        <v>45268</v>
      </c>
      <c r="X10" s="18"/>
    </row>
    <row r="11" spans="1:24" x14ac:dyDescent="0.35">
      <c r="A11" s="18">
        <v>2</v>
      </c>
      <c r="B11" s="15" t="s">
        <v>45</v>
      </c>
      <c r="C11" s="31" t="s">
        <v>86</v>
      </c>
      <c r="D11" s="12" t="s">
        <v>126</v>
      </c>
      <c r="E11" s="18" t="s">
        <v>127</v>
      </c>
      <c r="F11" s="12" t="s">
        <v>151</v>
      </c>
      <c r="G11" s="21">
        <v>24721</v>
      </c>
      <c r="H11" s="16">
        <v>33664</v>
      </c>
      <c r="I11" s="18">
        <f t="shared" ref="I11:I49" ca="1" si="0">DATEDIF(H11,$A$5,"Y")</f>
        <v>32</v>
      </c>
      <c r="J11" s="12">
        <f t="shared" ref="J11:J49" ca="1" si="1">DATEDIF(H11,$A$5,"YM")</f>
        <v>7</v>
      </c>
      <c r="K11" s="18" t="s">
        <v>1130</v>
      </c>
      <c r="L11" s="18"/>
      <c r="M11" s="18" t="s">
        <v>177</v>
      </c>
      <c r="N11" s="16">
        <v>43922</v>
      </c>
      <c r="O11" s="18">
        <v>23</v>
      </c>
      <c r="P11" s="12">
        <v>1</v>
      </c>
      <c r="Q11" s="18" t="s">
        <v>183</v>
      </c>
      <c r="S11" s="18" t="s">
        <v>39</v>
      </c>
      <c r="T11" s="12" t="s">
        <v>40</v>
      </c>
      <c r="U11" s="18" t="str">
        <f t="shared" ref="U11:U49" ca="1" si="2">DATEDIF(G11,$A$5,"Y") &amp;" Tahun, "&amp;DATEDIF(G11,$A$5,"YM") &amp;" Bulan, "&amp;DATEDIF(G11,$A$5,"MD") &amp;" Hari"</f>
        <v>57 Tahun, 1 Bulan, 2 Hari</v>
      </c>
      <c r="V11" s="12" t="s">
        <v>221</v>
      </c>
      <c r="W11" s="21">
        <v>44186</v>
      </c>
      <c r="X11" s="18"/>
    </row>
    <row r="12" spans="1:24" x14ac:dyDescent="0.35">
      <c r="A12" s="18">
        <v>3</v>
      </c>
      <c r="B12" s="15" t="s">
        <v>46</v>
      </c>
      <c r="C12" s="31" t="s">
        <v>87</v>
      </c>
      <c r="D12" s="12" t="s">
        <v>126</v>
      </c>
      <c r="E12" s="18" t="s">
        <v>128</v>
      </c>
      <c r="F12" s="12" t="s">
        <v>153</v>
      </c>
      <c r="G12" s="21">
        <v>24744</v>
      </c>
      <c r="H12" s="16">
        <v>32540</v>
      </c>
      <c r="I12" s="18">
        <f t="shared" ca="1" si="0"/>
        <v>35</v>
      </c>
      <c r="J12" s="12">
        <f t="shared" ca="1" si="1"/>
        <v>8</v>
      </c>
      <c r="K12" s="18" t="s">
        <v>914</v>
      </c>
      <c r="L12" s="18"/>
      <c r="M12" s="18" t="s">
        <v>178</v>
      </c>
      <c r="N12" s="16">
        <v>39356</v>
      </c>
      <c r="O12" s="18">
        <v>19</v>
      </c>
      <c r="P12" s="12">
        <v>6</v>
      </c>
      <c r="Q12" s="18" t="s">
        <v>184</v>
      </c>
      <c r="S12" s="18" t="s">
        <v>39</v>
      </c>
      <c r="T12" s="12" t="s">
        <v>40</v>
      </c>
      <c r="U12" s="18" t="str">
        <f t="shared" ca="1" si="2"/>
        <v>57 Tahun, 0 Bulan, 9 Hari</v>
      </c>
      <c r="V12" s="12" t="s">
        <v>222</v>
      </c>
      <c r="W12" s="21">
        <v>44186</v>
      </c>
      <c r="X12" s="18"/>
    </row>
    <row r="13" spans="1:24" x14ac:dyDescent="0.35">
      <c r="A13" s="18">
        <v>4</v>
      </c>
      <c r="B13" s="15" t="s">
        <v>47</v>
      </c>
      <c r="C13" s="32" t="s">
        <v>88</v>
      </c>
      <c r="D13" s="12" t="s">
        <v>126</v>
      </c>
      <c r="E13" s="18" t="s">
        <v>129</v>
      </c>
      <c r="F13" s="12" t="s">
        <v>151</v>
      </c>
      <c r="G13" s="21">
        <v>25724</v>
      </c>
      <c r="H13" s="16">
        <v>34029</v>
      </c>
      <c r="I13" s="18">
        <f t="shared" ca="1" si="0"/>
        <v>31</v>
      </c>
      <c r="J13" s="12">
        <f t="shared" ca="1" si="1"/>
        <v>7</v>
      </c>
      <c r="K13" s="18" t="s">
        <v>914</v>
      </c>
      <c r="L13" s="18" t="s">
        <v>1213</v>
      </c>
      <c r="M13" s="18" t="s">
        <v>178</v>
      </c>
      <c r="N13" s="16">
        <v>39539</v>
      </c>
      <c r="O13" s="18">
        <v>19</v>
      </c>
      <c r="P13" s="12">
        <v>1</v>
      </c>
      <c r="Q13" s="18" t="s">
        <v>185</v>
      </c>
      <c r="S13" s="18" t="s">
        <v>39</v>
      </c>
      <c r="T13" s="12" t="s">
        <v>40</v>
      </c>
      <c r="U13" s="18" t="str">
        <f t="shared" ca="1" si="2"/>
        <v>54 Tahun, 4 Bulan, 3 Hari</v>
      </c>
      <c r="V13" s="12" t="s">
        <v>223</v>
      </c>
      <c r="W13" s="21">
        <v>45268</v>
      </c>
      <c r="X13" s="18"/>
    </row>
    <row r="14" spans="1:24" x14ac:dyDescent="0.35">
      <c r="A14" s="18">
        <v>5</v>
      </c>
      <c r="B14" s="15" t="s">
        <v>48</v>
      </c>
      <c r="C14" s="32" t="s">
        <v>89</v>
      </c>
      <c r="D14" s="12" t="s">
        <v>126</v>
      </c>
      <c r="E14" s="18" t="s">
        <v>129</v>
      </c>
      <c r="F14" s="12" t="s">
        <v>154</v>
      </c>
      <c r="G14" s="21">
        <v>25086</v>
      </c>
      <c r="H14" s="16">
        <v>33298</v>
      </c>
      <c r="I14" s="18">
        <f t="shared" ca="1" si="0"/>
        <v>33</v>
      </c>
      <c r="J14" s="12">
        <f t="shared" ca="1" si="1"/>
        <v>7</v>
      </c>
      <c r="K14" s="18" t="s">
        <v>914</v>
      </c>
      <c r="L14" s="18" t="s">
        <v>1214</v>
      </c>
      <c r="M14" s="18" t="s">
        <v>178</v>
      </c>
      <c r="N14" s="16">
        <v>39539</v>
      </c>
      <c r="O14" s="18">
        <v>19</v>
      </c>
      <c r="P14" s="12">
        <v>6</v>
      </c>
      <c r="Q14" s="18" t="s">
        <v>186</v>
      </c>
      <c r="S14" s="18" t="s">
        <v>220</v>
      </c>
      <c r="T14" s="12" t="s">
        <v>40</v>
      </c>
      <c r="U14" s="18" t="str">
        <f t="shared" ca="1" si="2"/>
        <v>56 Tahun, 1 Bulan, 3 Hari</v>
      </c>
      <c r="V14" s="12" t="s">
        <v>224</v>
      </c>
      <c r="W14" s="18"/>
      <c r="X14" s="18"/>
    </row>
    <row r="15" spans="1:24" x14ac:dyDescent="0.35">
      <c r="A15" s="18">
        <v>6</v>
      </c>
      <c r="B15" s="15" t="s">
        <v>50</v>
      </c>
      <c r="C15" s="32" t="s">
        <v>90</v>
      </c>
      <c r="D15" s="12" t="s">
        <v>126</v>
      </c>
      <c r="E15" s="18" t="s">
        <v>128</v>
      </c>
      <c r="F15" s="12" t="s">
        <v>155</v>
      </c>
      <c r="G15" s="21">
        <v>24566</v>
      </c>
      <c r="H15" s="16">
        <v>33298</v>
      </c>
      <c r="I15" s="18">
        <f t="shared" ca="1" si="0"/>
        <v>33</v>
      </c>
      <c r="J15" s="12">
        <f t="shared" ca="1" si="1"/>
        <v>7</v>
      </c>
      <c r="K15" s="18" t="s">
        <v>914</v>
      </c>
      <c r="L15" s="18" t="s">
        <v>1214</v>
      </c>
      <c r="M15" s="18" t="s">
        <v>178</v>
      </c>
      <c r="N15" s="16">
        <v>40269</v>
      </c>
      <c r="O15" s="18">
        <v>17</v>
      </c>
      <c r="P15" s="12">
        <v>1</v>
      </c>
      <c r="Q15" s="18" t="s">
        <v>187</v>
      </c>
      <c r="S15" s="18" t="s">
        <v>39</v>
      </c>
      <c r="T15" s="12" t="s">
        <v>40</v>
      </c>
      <c r="U15" s="18" t="str">
        <f t="shared" ca="1" si="2"/>
        <v>57 Tahun, 6 Bulan, 4 Hari</v>
      </c>
      <c r="V15" s="12" t="s">
        <v>225</v>
      </c>
      <c r="W15" s="18"/>
      <c r="X15" s="18"/>
    </row>
    <row r="16" spans="1:24" x14ac:dyDescent="0.35">
      <c r="A16" s="18">
        <v>7</v>
      </c>
      <c r="B16" s="15" t="s">
        <v>49</v>
      </c>
      <c r="C16" s="32" t="s">
        <v>91</v>
      </c>
      <c r="D16" s="12" t="s">
        <v>126</v>
      </c>
      <c r="E16" s="18" t="s">
        <v>128</v>
      </c>
      <c r="F16" s="12" t="s">
        <v>156</v>
      </c>
      <c r="G16" s="21">
        <v>25568</v>
      </c>
      <c r="H16" s="16">
        <v>32905</v>
      </c>
      <c r="I16" s="18">
        <f t="shared" ca="1" si="0"/>
        <v>34</v>
      </c>
      <c r="J16" s="12">
        <f t="shared" ca="1" si="1"/>
        <v>8</v>
      </c>
      <c r="K16" s="18" t="s">
        <v>914</v>
      </c>
      <c r="L16" s="18" t="s">
        <v>1214</v>
      </c>
      <c r="M16" s="18" t="s">
        <v>178</v>
      </c>
      <c r="N16" s="16">
        <v>41730</v>
      </c>
      <c r="O16" s="18">
        <v>17</v>
      </c>
      <c r="P16" s="12">
        <v>2</v>
      </c>
      <c r="Q16" s="18" t="s">
        <v>188</v>
      </c>
      <c r="S16" s="18" t="s">
        <v>39</v>
      </c>
      <c r="T16" s="12" t="s">
        <v>40</v>
      </c>
      <c r="U16" s="18" t="str">
        <f t="shared" ca="1" si="2"/>
        <v>54 Tahun, 9 Bulan, 7 Hari</v>
      </c>
      <c r="V16" s="12" t="s">
        <v>1163</v>
      </c>
      <c r="W16" s="18"/>
      <c r="X16" s="18"/>
    </row>
    <row r="17" spans="1:24" x14ac:dyDescent="0.35">
      <c r="A17" s="18">
        <v>8</v>
      </c>
      <c r="B17" s="15" t="s">
        <v>51</v>
      </c>
      <c r="C17" s="32" t="s">
        <v>92</v>
      </c>
      <c r="D17" s="12" t="s">
        <v>126</v>
      </c>
      <c r="E17" s="18" t="s">
        <v>130</v>
      </c>
      <c r="F17" s="12" t="s">
        <v>35</v>
      </c>
      <c r="G17" s="21">
        <v>29985</v>
      </c>
      <c r="H17" s="16">
        <v>38353</v>
      </c>
      <c r="I17" s="18">
        <f t="shared" ca="1" si="0"/>
        <v>19</v>
      </c>
      <c r="J17" s="12">
        <f t="shared" ca="1" si="1"/>
        <v>9</v>
      </c>
      <c r="K17" s="18" t="s">
        <v>914</v>
      </c>
      <c r="L17" s="18"/>
      <c r="M17" s="18" t="s">
        <v>178</v>
      </c>
      <c r="N17" s="16">
        <v>42826</v>
      </c>
      <c r="O17" s="18">
        <v>12</v>
      </c>
      <c r="P17" s="12">
        <v>3</v>
      </c>
      <c r="Q17" s="35" t="s">
        <v>193</v>
      </c>
      <c r="S17" s="18" t="s">
        <v>220</v>
      </c>
      <c r="T17" s="12" t="s">
        <v>40</v>
      </c>
      <c r="U17" s="18" t="str">
        <f t="shared" ca="1" si="2"/>
        <v>42 Tahun, 8 Bulan, 5 Hari</v>
      </c>
      <c r="V17" s="12" t="s">
        <v>226</v>
      </c>
      <c r="W17" s="18"/>
      <c r="X17" s="18"/>
    </row>
    <row r="18" spans="1:24" x14ac:dyDescent="0.35">
      <c r="A18" s="18">
        <v>9</v>
      </c>
      <c r="B18" s="15" t="s">
        <v>52</v>
      </c>
      <c r="C18" s="32" t="s">
        <v>93</v>
      </c>
      <c r="D18" s="12" t="s">
        <v>126</v>
      </c>
      <c r="E18" s="18" t="s">
        <v>130</v>
      </c>
      <c r="F18" s="12" t="s">
        <v>35</v>
      </c>
      <c r="G18" s="21">
        <v>29232</v>
      </c>
      <c r="H18" s="16">
        <v>38353</v>
      </c>
      <c r="I18" s="18">
        <f t="shared" ca="1" si="0"/>
        <v>19</v>
      </c>
      <c r="J18" s="12">
        <f t="shared" ca="1" si="1"/>
        <v>9</v>
      </c>
      <c r="K18" s="18" t="s">
        <v>914</v>
      </c>
      <c r="L18" s="18"/>
      <c r="M18" s="18" t="s">
        <v>178</v>
      </c>
      <c r="N18" s="16">
        <v>42826</v>
      </c>
      <c r="O18" s="18">
        <v>12</v>
      </c>
      <c r="P18" s="12">
        <v>4</v>
      </c>
      <c r="Q18" s="35" t="s">
        <v>189</v>
      </c>
      <c r="S18" s="18" t="s">
        <v>39</v>
      </c>
      <c r="T18" s="12" t="s">
        <v>40</v>
      </c>
      <c r="U18" s="18" t="str">
        <f t="shared" ca="1" si="2"/>
        <v>44 Tahun, 8 Bulan, 26 Hari</v>
      </c>
      <c r="V18" s="12" t="s">
        <v>227</v>
      </c>
      <c r="W18" s="21">
        <v>42125</v>
      </c>
      <c r="X18" s="18"/>
    </row>
    <row r="19" spans="1:24" x14ac:dyDescent="0.35">
      <c r="A19" s="18">
        <v>10</v>
      </c>
      <c r="B19" s="15" t="s">
        <v>53</v>
      </c>
      <c r="C19" s="32" t="s">
        <v>94</v>
      </c>
      <c r="D19" s="12" t="s">
        <v>126</v>
      </c>
      <c r="E19" s="18" t="s">
        <v>131</v>
      </c>
      <c r="F19" s="12" t="s">
        <v>157</v>
      </c>
      <c r="G19" s="21">
        <v>26366</v>
      </c>
      <c r="H19" s="16">
        <v>34029</v>
      </c>
      <c r="I19" s="18">
        <f t="shared" ca="1" si="0"/>
        <v>31</v>
      </c>
      <c r="J19" s="12">
        <f t="shared" ca="1" si="1"/>
        <v>7</v>
      </c>
      <c r="K19" s="18" t="s">
        <v>914</v>
      </c>
      <c r="L19" s="18" t="s">
        <v>1211</v>
      </c>
      <c r="M19" s="18" t="s">
        <v>178</v>
      </c>
      <c r="N19" s="16">
        <v>44287</v>
      </c>
      <c r="O19" s="18">
        <v>23</v>
      </c>
      <c r="P19" s="12">
        <v>1</v>
      </c>
      <c r="Q19" s="35" t="s">
        <v>194</v>
      </c>
      <c r="S19" s="18" t="s">
        <v>220</v>
      </c>
      <c r="T19" s="12" t="s">
        <v>40</v>
      </c>
      <c r="U19" s="18" t="str">
        <f t="shared" ca="1" si="2"/>
        <v>52 Tahun, 7 Bulan, 0 Hari</v>
      </c>
      <c r="V19" s="12" t="s">
        <v>228</v>
      </c>
      <c r="W19" s="18"/>
      <c r="X19" s="18"/>
    </row>
    <row r="20" spans="1:24" x14ac:dyDescent="0.35">
      <c r="A20" s="18">
        <v>11</v>
      </c>
      <c r="B20" s="15" t="s">
        <v>54</v>
      </c>
      <c r="C20" s="32" t="s">
        <v>95</v>
      </c>
      <c r="D20" s="12" t="s">
        <v>126</v>
      </c>
      <c r="E20" s="18" t="s">
        <v>131</v>
      </c>
      <c r="F20" s="12" t="s">
        <v>158</v>
      </c>
      <c r="G20" s="21">
        <v>25548</v>
      </c>
      <c r="H20" s="16">
        <v>34029</v>
      </c>
      <c r="I20" s="18">
        <f t="shared" ca="1" si="0"/>
        <v>31</v>
      </c>
      <c r="J20" s="12">
        <f t="shared" ca="1" si="1"/>
        <v>7</v>
      </c>
      <c r="K20" s="18" t="s">
        <v>914</v>
      </c>
      <c r="L20" s="18" t="s">
        <v>1211</v>
      </c>
      <c r="M20" s="18" t="s">
        <v>178</v>
      </c>
      <c r="N20" s="16">
        <v>44287</v>
      </c>
      <c r="O20" s="18">
        <v>23</v>
      </c>
      <c r="P20" s="12">
        <v>1</v>
      </c>
      <c r="Q20" s="18" t="s">
        <v>190</v>
      </c>
      <c r="S20" s="18" t="s">
        <v>39</v>
      </c>
      <c r="T20" s="12" t="s">
        <v>40</v>
      </c>
      <c r="U20" s="18" t="str">
        <f t="shared" ca="1" si="2"/>
        <v>54 Tahun, 9 Bulan, 27 Hari</v>
      </c>
      <c r="V20" s="12" t="s">
        <v>233</v>
      </c>
      <c r="W20" s="18"/>
      <c r="X20" s="18"/>
    </row>
    <row r="21" spans="1:24" x14ac:dyDescent="0.35">
      <c r="A21" s="18">
        <v>12</v>
      </c>
      <c r="B21" s="15" t="s">
        <v>55</v>
      </c>
      <c r="C21" s="32" t="s">
        <v>96</v>
      </c>
      <c r="D21" s="12" t="s">
        <v>126</v>
      </c>
      <c r="E21" s="18" t="s">
        <v>131</v>
      </c>
      <c r="F21" s="12" t="s">
        <v>159</v>
      </c>
      <c r="G21" s="21">
        <v>25055</v>
      </c>
      <c r="H21" s="16">
        <v>34029</v>
      </c>
      <c r="I21" s="18">
        <f t="shared" ca="1" si="0"/>
        <v>31</v>
      </c>
      <c r="J21" s="12">
        <f t="shared" ca="1" si="1"/>
        <v>7</v>
      </c>
      <c r="K21" s="18" t="s">
        <v>914</v>
      </c>
      <c r="L21" s="18" t="s">
        <v>1211</v>
      </c>
      <c r="M21" s="18" t="s">
        <v>178</v>
      </c>
      <c r="N21" s="16">
        <v>44287</v>
      </c>
      <c r="O21" s="18">
        <v>23</v>
      </c>
      <c r="P21" s="12">
        <v>1</v>
      </c>
      <c r="Q21" s="18" t="s">
        <v>191</v>
      </c>
      <c r="S21" s="18" t="s">
        <v>39</v>
      </c>
      <c r="T21" s="12" t="s">
        <v>40</v>
      </c>
      <c r="U21" s="18" t="str">
        <f t="shared" ca="1" si="2"/>
        <v>56 Tahun, 2 Bulan, 3 Hari</v>
      </c>
      <c r="V21" s="12" t="s">
        <v>228</v>
      </c>
      <c r="W21" s="18"/>
      <c r="X21" s="18"/>
    </row>
    <row r="22" spans="1:24" x14ac:dyDescent="0.35">
      <c r="A22" s="18">
        <v>13</v>
      </c>
      <c r="B22" s="15" t="s">
        <v>56</v>
      </c>
      <c r="C22" s="32" t="s">
        <v>97</v>
      </c>
      <c r="D22" s="12" t="s">
        <v>126</v>
      </c>
      <c r="E22" s="18" t="s">
        <v>131</v>
      </c>
      <c r="F22" s="12" t="s">
        <v>35</v>
      </c>
      <c r="G22" s="21">
        <v>26048</v>
      </c>
      <c r="H22" s="16">
        <v>32905</v>
      </c>
      <c r="I22" s="18">
        <f t="shared" ca="1" si="0"/>
        <v>34</v>
      </c>
      <c r="J22" s="12">
        <f t="shared" ca="1" si="1"/>
        <v>8</v>
      </c>
      <c r="K22" s="18" t="s">
        <v>914</v>
      </c>
      <c r="L22" s="18"/>
      <c r="M22" s="18" t="s">
        <v>178</v>
      </c>
      <c r="N22" s="16">
        <v>44652</v>
      </c>
      <c r="O22" s="18">
        <v>24</v>
      </c>
      <c r="P22" s="12">
        <v>2</v>
      </c>
      <c r="Q22" s="18" t="s">
        <v>192</v>
      </c>
      <c r="S22" s="18" t="s">
        <v>39</v>
      </c>
      <c r="T22" s="12" t="s">
        <v>219</v>
      </c>
      <c r="U22" s="18" t="str">
        <f t="shared" ca="1" si="2"/>
        <v>53 Tahun, 5 Bulan, 13 Hari</v>
      </c>
      <c r="V22" s="12" t="s">
        <v>224</v>
      </c>
      <c r="W22" s="18"/>
      <c r="X22" s="18"/>
    </row>
    <row r="23" spans="1:24" x14ac:dyDescent="0.35">
      <c r="A23" s="18">
        <v>14</v>
      </c>
      <c r="B23" s="15" t="s">
        <v>57</v>
      </c>
      <c r="C23" s="32" t="s">
        <v>98</v>
      </c>
      <c r="D23" s="12" t="s">
        <v>126</v>
      </c>
      <c r="E23" s="18" t="s">
        <v>131</v>
      </c>
      <c r="F23" s="12" t="s">
        <v>160</v>
      </c>
      <c r="G23" s="21">
        <v>29805</v>
      </c>
      <c r="H23" s="16">
        <v>37956</v>
      </c>
      <c r="I23" s="18">
        <f t="shared" ca="1" si="0"/>
        <v>20</v>
      </c>
      <c r="J23" s="12">
        <f t="shared" ca="1" si="1"/>
        <v>10</v>
      </c>
      <c r="K23" s="18" t="s">
        <v>914</v>
      </c>
      <c r="L23" s="18"/>
      <c r="M23" s="18" t="s">
        <v>178</v>
      </c>
      <c r="N23" s="16">
        <v>45017</v>
      </c>
      <c r="O23" s="18">
        <v>14</v>
      </c>
      <c r="P23" s="12">
        <v>4</v>
      </c>
      <c r="Q23" s="18" t="s">
        <v>195</v>
      </c>
      <c r="S23" s="18" t="s">
        <v>39</v>
      </c>
      <c r="T23" s="12" t="s">
        <v>40</v>
      </c>
      <c r="U23" s="18" t="str">
        <f t="shared" ca="1" si="2"/>
        <v>43 Tahun, 2 Bulan, 1 Hari</v>
      </c>
      <c r="V23" s="12" t="s">
        <v>229</v>
      </c>
      <c r="W23" s="18"/>
      <c r="X23" s="18"/>
    </row>
    <row r="24" spans="1:24" x14ac:dyDescent="0.35">
      <c r="A24" s="18">
        <v>15</v>
      </c>
      <c r="B24" s="15" t="s">
        <v>58</v>
      </c>
      <c r="C24" s="32" t="s">
        <v>99</v>
      </c>
      <c r="D24" s="12" t="s">
        <v>126</v>
      </c>
      <c r="E24" s="18" t="s">
        <v>132</v>
      </c>
      <c r="F24" s="12" t="s">
        <v>161</v>
      </c>
      <c r="G24" s="21">
        <v>24760</v>
      </c>
      <c r="H24" s="16">
        <v>36586</v>
      </c>
      <c r="I24" s="18">
        <f t="shared" ca="1" si="0"/>
        <v>24</v>
      </c>
      <c r="J24" s="12">
        <f t="shared" ca="1" si="1"/>
        <v>7</v>
      </c>
      <c r="K24" s="18" t="s">
        <v>914</v>
      </c>
      <c r="L24" s="18"/>
      <c r="M24" s="18" t="s">
        <v>178</v>
      </c>
      <c r="N24" s="16">
        <v>45017</v>
      </c>
      <c r="O24" s="18">
        <v>18</v>
      </c>
      <c r="P24" s="12">
        <v>1</v>
      </c>
      <c r="Q24" s="18" t="s">
        <v>196</v>
      </c>
      <c r="S24" s="18" t="s">
        <v>39</v>
      </c>
      <c r="T24" s="12" t="s">
        <v>40</v>
      </c>
      <c r="U24" s="18" t="str">
        <f t="shared" ca="1" si="2"/>
        <v>56 Tahun, 11 Bulan, 23 Hari</v>
      </c>
      <c r="V24" s="12" t="s">
        <v>230</v>
      </c>
      <c r="W24" s="18"/>
      <c r="X24" s="18"/>
    </row>
    <row r="25" spans="1:24" x14ac:dyDescent="0.35">
      <c r="A25" s="18">
        <v>16</v>
      </c>
      <c r="B25" s="15" t="s">
        <v>59</v>
      </c>
      <c r="C25" s="32" t="s">
        <v>100</v>
      </c>
      <c r="D25" s="12" t="s">
        <v>126</v>
      </c>
      <c r="E25" s="18" t="s">
        <v>131</v>
      </c>
      <c r="F25" s="12" t="s">
        <v>162</v>
      </c>
      <c r="G25" s="21">
        <v>25549</v>
      </c>
      <c r="H25" s="16">
        <v>33664</v>
      </c>
      <c r="I25" s="18">
        <f t="shared" ca="1" si="0"/>
        <v>32</v>
      </c>
      <c r="J25" s="12">
        <f t="shared" ca="1" si="1"/>
        <v>7</v>
      </c>
      <c r="K25" s="18" t="s">
        <v>914</v>
      </c>
      <c r="L25" s="18" t="s">
        <v>1211</v>
      </c>
      <c r="M25" s="18" t="s">
        <v>178</v>
      </c>
      <c r="N25" s="16">
        <v>45200</v>
      </c>
      <c r="O25" s="18">
        <v>23</v>
      </c>
      <c r="P25" s="12">
        <v>0</v>
      </c>
      <c r="Q25" s="18" t="s">
        <v>197</v>
      </c>
      <c r="S25" s="18" t="s">
        <v>39</v>
      </c>
      <c r="T25" s="12" t="s">
        <v>40</v>
      </c>
      <c r="U25" s="18" t="str">
        <f t="shared" ca="1" si="2"/>
        <v>54 Tahun, 9 Bulan, 26 Hari</v>
      </c>
      <c r="V25" s="12" t="s">
        <v>231</v>
      </c>
      <c r="W25" s="18"/>
      <c r="X25" s="18"/>
    </row>
    <row r="26" spans="1:24" x14ac:dyDescent="0.35">
      <c r="A26" s="18">
        <v>17</v>
      </c>
      <c r="B26" s="15" t="s">
        <v>60</v>
      </c>
      <c r="C26" s="32" t="s">
        <v>101</v>
      </c>
      <c r="D26" s="12" t="s">
        <v>126</v>
      </c>
      <c r="E26" s="18" t="s">
        <v>131</v>
      </c>
      <c r="F26" s="12" t="s">
        <v>163</v>
      </c>
      <c r="G26" s="21">
        <v>26337</v>
      </c>
      <c r="H26" s="16">
        <v>36220</v>
      </c>
      <c r="I26" s="18">
        <f t="shared" ca="1" si="0"/>
        <v>25</v>
      </c>
      <c r="J26" s="12">
        <f t="shared" ca="1" si="1"/>
        <v>7</v>
      </c>
      <c r="K26" s="18" t="s">
        <v>914</v>
      </c>
      <c r="L26" s="18"/>
      <c r="M26" s="18" t="s">
        <v>179</v>
      </c>
      <c r="N26" s="16">
        <v>44287</v>
      </c>
      <c r="O26" s="18">
        <v>17</v>
      </c>
      <c r="P26" s="12">
        <v>1</v>
      </c>
      <c r="Q26" s="18" t="s">
        <v>198</v>
      </c>
      <c r="S26" s="18" t="s">
        <v>39</v>
      </c>
      <c r="T26" s="12" t="s">
        <v>40</v>
      </c>
      <c r="U26" s="18" t="str">
        <f t="shared" ca="1" si="2"/>
        <v>52 Tahun, 8 Bulan, 0 Hari</v>
      </c>
      <c r="V26" s="12" t="s">
        <v>232</v>
      </c>
      <c r="W26" s="18"/>
      <c r="X26" s="18"/>
    </row>
    <row r="27" spans="1:24" x14ac:dyDescent="0.35">
      <c r="A27" s="18">
        <v>18</v>
      </c>
      <c r="B27" s="15" t="s">
        <v>61</v>
      </c>
      <c r="C27" s="32" t="s">
        <v>102</v>
      </c>
      <c r="D27" s="12" t="s">
        <v>133</v>
      </c>
      <c r="E27" s="18" t="s">
        <v>134</v>
      </c>
      <c r="F27" s="12" t="s">
        <v>164</v>
      </c>
      <c r="G27" s="21">
        <v>28475</v>
      </c>
      <c r="H27" s="16">
        <v>38353</v>
      </c>
      <c r="I27" s="18">
        <f t="shared" ca="1" si="0"/>
        <v>19</v>
      </c>
      <c r="J27" s="12">
        <f t="shared" ca="1" si="1"/>
        <v>9</v>
      </c>
      <c r="K27" s="18" t="s">
        <v>914</v>
      </c>
      <c r="L27" s="18"/>
      <c r="M27" s="18" t="s">
        <v>179</v>
      </c>
      <c r="N27" s="16">
        <v>44287</v>
      </c>
      <c r="O27" s="18">
        <v>17</v>
      </c>
      <c r="P27" s="12">
        <v>1</v>
      </c>
      <c r="Q27" s="18" t="s">
        <v>199</v>
      </c>
      <c r="S27" s="18" t="s">
        <v>220</v>
      </c>
      <c r="T27" s="12" t="s">
        <v>219</v>
      </c>
      <c r="U27" s="18" t="str">
        <f t="shared" ca="1" si="2"/>
        <v>46 Tahun, 9 Bulan, 22 Hari</v>
      </c>
      <c r="V27" s="12" t="s">
        <v>1161</v>
      </c>
      <c r="W27" s="18"/>
      <c r="X27" s="18"/>
    </row>
    <row r="28" spans="1:24" x14ac:dyDescent="0.35">
      <c r="A28" s="18">
        <v>19</v>
      </c>
      <c r="B28" s="15" t="s">
        <v>62</v>
      </c>
      <c r="C28" s="32" t="s">
        <v>103</v>
      </c>
      <c r="D28" s="12" t="s">
        <v>136</v>
      </c>
      <c r="E28" s="18" t="s">
        <v>135</v>
      </c>
      <c r="F28" s="12" t="s">
        <v>35</v>
      </c>
      <c r="G28" s="21">
        <v>26002</v>
      </c>
      <c r="H28" s="16">
        <v>34029</v>
      </c>
      <c r="I28" s="18">
        <f t="shared" ca="1" si="0"/>
        <v>31</v>
      </c>
      <c r="J28" s="12">
        <f t="shared" ca="1" si="1"/>
        <v>7</v>
      </c>
      <c r="K28" s="18" t="s">
        <v>914</v>
      </c>
      <c r="L28" s="18"/>
      <c r="M28" s="18" t="s">
        <v>179</v>
      </c>
      <c r="N28" s="16">
        <v>44835</v>
      </c>
      <c r="O28" s="18">
        <v>24</v>
      </c>
      <c r="P28" s="12">
        <v>7</v>
      </c>
      <c r="Q28" s="18" t="s">
        <v>200</v>
      </c>
      <c r="S28" s="18" t="s">
        <v>39</v>
      </c>
      <c r="T28" s="12" t="s">
        <v>40</v>
      </c>
      <c r="U28" s="18" t="str">
        <f t="shared" ca="1" si="2"/>
        <v>53 Tahun, 6 Bulan, 28 Hari</v>
      </c>
      <c r="V28" s="12" t="s">
        <v>1161</v>
      </c>
      <c r="W28" s="18"/>
      <c r="X28" s="18"/>
    </row>
    <row r="29" spans="1:24" x14ac:dyDescent="0.35">
      <c r="A29" s="18">
        <v>20</v>
      </c>
      <c r="B29" s="15" t="s">
        <v>63</v>
      </c>
      <c r="C29" s="32" t="s">
        <v>104</v>
      </c>
      <c r="D29" s="12" t="s">
        <v>136</v>
      </c>
      <c r="E29" s="18" t="s">
        <v>135</v>
      </c>
      <c r="F29" s="12" t="s">
        <v>165</v>
      </c>
      <c r="G29" s="21">
        <v>24869</v>
      </c>
      <c r="H29" s="16">
        <v>32540</v>
      </c>
      <c r="I29" s="18">
        <f t="shared" ca="1" si="0"/>
        <v>35</v>
      </c>
      <c r="J29" s="12">
        <f t="shared" ca="1" si="1"/>
        <v>8</v>
      </c>
      <c r="K29" s="18" t="s">
        <v>914</v>
      </c>
      <c r="L29" s="18"/>
      <c r="M29" s="18" t="s">
        <v>179</v>
      </c>
      <c r="N29" s="16">
        <v>44835</v>
      </c>
      <c r="O29" s="18">
        <v>22</v>
      </c>
      <c r="P29" s="12">
        <v>0</v>
      </c>
      <c r="Q29" s="18" t="s">
        <v>201</v>
      </c>
      <c r="S29" s="18" t="s">
        <v>39</v>
      </c>
      <c r="T29" s="12" t="s">
        <v>40</v>
      </c>
      <c r="U29" s="18" t="str">
        <f t="shared" ca="1" si="2"/>
        <v>56 Tahun, 8 Bulan, 7 Hari</v>
      </c>
      <c r="V29" s="12" t="s">
        <v>233</v>
      </c>
      <c r="W29" s="18"/>
      <c r="X29" s="18"/>
    </row>
    <row r="30" spans="1:24" x14ac:dyDescent="0.35">
      <c r="A30" s="18">
        <v>21</v>
      </c>
      <c r="B30" s="15" t="s">
        <v>64</v>
      </c>
      <c r="C30" s="32" t="s">
        <v>105</v>
      </c>
      <c r="D30" s="12" t="s">
        <v>126</v>
      </c>
      <c r="E30" s="18" t="s">
        <v>131</v>
      </c>
      <c r="F30" s="12" t="s">
        <v>35</v>
      </c>
      <c r="G30" s="21">
        <v>24635</v>
      </c>
      <c r="H30" s="16">
        <v>34394</v>
      </c>
      <c r="I30" s="18">
        <f t="shared" ca="1" si="0"/>
        <v>30</v>
      </c>
      <c r="J30" s="12">
        <f t="shared" ca="1" si="1"/>
        <v>7</v>
      </c>
      <c r="K30" s="18" t="s">
        <v>914</v>
      </c>
      <c r="L30" s="18"/>
      <c r="M30" s="18" t="s">
        <v>179</v>
      </c>
      <c r="N30" s="16">
        <v>44287</v>
      </c>
      <c r="O30" s="18">
        <v>18</v>
      </c>
      <c r="P30" s="12">
        <v>6</v>
      </c>
      <c r="Q30" s="18" t="s">
        <v>202</v>
      </c>
      <c r="S30" s="18" t="s">
        <v>39</v>
      </c>
      <c r="T30" s="12" t="s">
        <v>40</v>
      </c>
      <c r="U30" s="18" t="str">
        <f t="shared" ca="1" si="2"/>
        <v>57 Tahun, 3 Bulan, 26 Hari</v>
      </c>
      <c r="V30" s="12" t="s">
        <v>228</v>
      </c>
      <c r="W30" s="18"/>
      <c r="X30" s="18"/>
    </row>
    <row r="31" spans="1:24" x14ac:dyDescent="0.35">
      <c r="A31" s="18">
        <v>22</v>
      </c>
      <c r="B31" s="15" t="s">
        <v>65</v>
      </c>
      <c r="C31" s="32" t="s">
        <v>106</v>
      </c>
      <c r="D31" s="12" t="s">
        <v>33</v>
      </c>
      <c r="E31" s="18" t="s">
        <v>137</v>
      </c>
      <c r="F31" s="12" t="s">
        <v>166</v>
      </c>
      <c r="G31" s="21">
        <v>31667</v>
      </c>
      <c r="H31" s="16">
        <v>41730</v>
      </c>
      <c r="I31" s="18">
        <f t="shared" ca="1" si="0"/>
        <v>10</v>
      </c>
      <c r="J31" s="12">
        <f t="shared" ca="1" si="1"/>
        <v>6</v>
      </c>
      <c r="K31" s="18" t="s">
        <v>914</v>
      </c>
      <c r="L31" s="18"/>
      <c r="M31" s="18" t="s">
        <v>179</v>
      </c>
      <c r="N31" s="16">
        <v>44835</v>
      </c>
      <c r="O31" s="18">
        <v>8</v>
      </c>
      <c r="P31" s="12">
        <v>6</v>
      </c>
      <c r="Q31" s="18" t="s">
        <v>203</v>
      </c>
      <c r="S31" s="18" t="s">
        <v>220</v>
      </c>
      <c r="T31" s="12" t="s">
        <v>219</v>
      </c>
      <c r="U31" s="18" t="str">
        <f t="shared" ca="1" si="2"/>
        <v>38 Tahun, 0 Bulan, 26 Hari</v>
      </c>
      <c r="V31" s="12" t="s">
        <v>224</v>
      </c>
      <c r="W31" s="18"/>
      <c r="X31" s="18"/>
    </row>
    <row r="32" spans="1:24" x14ac:dyDescent="0.35">
      <c r="A32" s="18">
        <v>23</v>
      </c>
      <c r="B32" s="15" t="s">
        <v>66</v>
      </c>
      <c r="C32" s="32" t="s">
        <v>107</v>
      </c>
      <c r="D32" s="12" t="s">
        <v>138</v>
      </c>
      <c r="E32" s="18" t="s">
        <v>139</v>
      </c>
      <c r="F32" s="12" t="s">
        <v>35</v>
      </c>
      <c r="G32" s="21">
        <v>25357</v>
      </c>
      <c r="H32" s="16">
        <v>32905</v>
      </c>
      <c r="I32" s="18">
        <f t="shared" ca="1" si="0"/>
        <v>34</v>
      </c>
      <c r="J32" s="12">
        <f t="shared" ca="1" si="1"/>
        <v>8</v>
      </c>
      <c r="K32" s="18" t="s">
        <v>914</v>
      </c>
      <c r="L32" s="18"/>
      <c r="M32" s="18" t="s">
        <v>180</v>
      </c>
      <c r="N32" s="16">
        <v>40269</v>
      </c>
      <c r="O32" s="18">
        <v>15</v>
      </c>
      <c r="P32" s="12">
        <v>2</v>
      </c>
      <c r="Q32" s="18" t="s">
        <v>204</v>
      </c>
      <c r="S32" s="18" t="s">
        <v>39</v>
      </c>
      <c r="T32" s="12" t="s">
        <v>40</v>
      </c>
      <c r="U32" s="18" t="str">
        <f t="shared" ca="1" si="2"/>
        <v>55 Tahun, 4 Bulan, 5 Hari</v>
      </c>
      <c r="V32" s="12" t="s">
        <v>228</v>
      </c>
      <c r="W32" s="18"/>
      <c r="X32" s="18"/>
    </row>
    <row r="33" spans="1:24" x14ac:dyDescent="0.35">
      <c r="A33" s="18">
        <v>24</v>
      </c>
      <c r="B33" s="15" t="s">
        <v>67</v>
      </c>
      <c r="C33" s="32" t="s">
        <v>108</v>
      </c>
      <c r="D33" s="12" t="s">
        <v>140</v>
      </c>
      <c r="E33" s="18" t="s">
        <v>141</v>
      </c>
      <c r="F33" s="12" t="s">
        <v>167</v>
      </c>
      <c r="G33" s="21">
        <v>24896</v>
      </c>
      <c r="H33" s="16">
        <v>32905</v>
      </c>
      <c r="I33" s="18">
        <f t="shared" ca="1" si="0"/>
        <v>34</v>
      </c>
      <c r="J33" s="12">
        <f t="shared" ca="1" si="1"/>
        <v>8</v>
      </c>
      <c r="K33" s="18" t="s">
        <v>914</v>
      </c>
      <c r="L33" s="18"/>
      <c r="M33" s="18" t="s">
        <v>180</v>
      </c>
      <c r="N33" s="16">
        <v>41730</v>
      </c>
      <c r="O33" s="18">
        <v>16</v>
      </c>
      <c r="P33" s="12">
        <v>2</v>
      </c>
      <c r="Q33" s="18" t="s">
        <v>205</v>
      </c>
      <c r="S33" s="18" t="s">
        <v>39</v>
      </c>
      <c r="T33" s="12" t="s">
        <v>40</v>
      </c>
      <c r="U33" s="18" t="str">
        <f t="shared" ca="1" si="2"/>
        <v>56 Tahun, 7 Bulan, 10 Hari</v>
      </c>
      <c r="V33" s="12" t="s">
        <v>234</v>
      </c>
      <c r="W33" s="18"/>
      <c r="X33" s="18"/>
    </row>
    <row r="34" spans="1:24" x14ac:dyDescent="0.35">
      <c r="A34" s="18">
        <v>25</v>
      </c>
      <c r="B34" s="15" t="s">
        <v>68</v>
      </c>
      <c r="C34" s="32" t="s">
        <v>109</v>
      </c>
      <c r="D34" s="12" t="s">
        <v>138</v>
      </c>
      <c r="E34" s="18" t="s">
        <v>139</v>
      </c>
      <c r="F34" s="12" t="s">
        <v>168</v>
      </c>
      <c r="G34" s="21">
        <v>24578</v>
      </c>
      <c r="H34" s="16">
        <v>33664</v>
      </c>
      <c r="I34" s="18">
        <f t="shared" ca="1" si="0"/>
        <v>32</v>
      </c>
      <c r="J34" s="12">
        <f t="shared" ca="1" si="1"/>
        <v>7</v>
      </c>
      <c r="K34" s="18" t="s">
        <v>914</v>
      </c>
      <c r="L34" s="18"/>
      <c r="M34" s="18" t="s">
        <v>180</v>
      </c>
      <c r="N34" s="16">
        <v>41000</v>
      </c>
      <c r="O34" s="18">
        <v>15</v>
      </c>
      <c r="P34" s="12">
        <v>1</v>
      </c>
      <c r="Q34" s="18" t="s">
        <v>206</v>
      </c>
      <c r="S34" s="18" t="s">
        <v>220</v>
      </c>
      <c r="T34" s="12" t="s">
        <v>40</v>
      </c>
      <c r="U34" s="18" t="str">
        <f t="shared" ca="1" si="2"/>
        <v>57 Tahun, 5 Bulan, 22 Hari</v>
      </c>
      <c r="V34" s="12" t="s">
        <v>234</v>
      </c>
      <c r="W34" s="18"/>
      <c r="X34" s="18"/>
    </row>
    <row r="35" spans="1:24" x14ac:dyDescent="0.35">
      <c r="A35" s="18">
        <v>26</v>
      </c>
      <c r="B35" s="15" t="s">
        <v>69</v>
      </c>
      <c r="C35" s="32" t="s">
        <v>110</v>
      </c>
      <c r="D35" s="12" t="s">
        <v>140</v>
      </c>
      <c r="E35" s="18" t="s">
        <v>142</v>
      </c>
      <c r="F35" s="12" t="s">
        <v>169</v>
      </c>
      <c r="G35" s="21">
        <v>24464</v>
      </c>
      <c r="H35" s="16">
        <v>34029</v>
      </c>
      <c r="I35" s="18">
        <f t="shared" ca="1" si="0"/>
        <v>31</v>
      </c>
      <c r="J35" s="12">
        <f t="shared" ca="1" si="1"/>
        <v>7</v>
      </c>
      <c r="K35" s="18" t="s">
        <v>914</v>
      </c>
      <c r="L35" s="18" t="s">
        <v>1211</v>
      </c>
      <c r="M35" s="18" t="s">
        <v>180</v>
      </c>
      <c r="N35" s="16">
        <v>41000</v>
      </c>
      <c r="O35" s="18">
        <v>14</v>
      </c>
      <c r="P35" s="12">
        <v>1</v>
      </c>
      <c r="Q35" s="18" t="s">
        <v>207</v>
      </c>
      <c r="S35" s="18" t="s">
        <v>220</v>
      </c>
      <c r="T35" s="12" t="s">
        <v>40</v>
      </c>
      <c r="U35" s="18" t="str">
        <f t="shared" ca="1" si="2"/>
        <v>57 Tahun, 9 Bulan, 15 Hari</v>
      </c>
      <c r="V35" s="12" t="s">
        <v>228</v>
      </c>
      <c r="W35" s="18"/>
      <c r="X35" s="18"/>
    </row>
    <row r="36" spans="1:24" x14ac:dyDescent="0.35">
      <c r="A36" s="18">
        <v>27</v>
      </c>
      <c r="B36" s="15" t="s">
        <v>70</v>
      </c>
      <c r="C36" s="32" t="s">
        <v>111</v>
      </c>
      <c r="D36" s="12" t="s">
        <v>126</v>
      </c>
      <c r="E36" s="18" t="s">
        <v>131</v>
      </c>
      <c r="F36" s="12" t="s">
        <v>170</v>
      </c>
      <c r="G36" s="21">
        <v>24595</v>
      </c>
      <c r="H36" s="16">
        <v>32905</v>
      </c>
      <c r="I36" s="18">
        <f t="shared" ca="1" si="0"/>
        <v>34</v>
      </c>
      <c r="J36" s="12">
        <f t="shared" ca="1" si="1"/>
        <v>8</v>
      </c>
      <c r="K36" s="18" t="s">
        <v>914</v>
      </c>
      <c r="L36" s="18"/>
      <c r="M36" s="18" t="s">
        <v>179</v>
      </c>
      <c r="N36" s="16">
        <v>45200</v>
      </c>
      <c r="O36" s="18">
        <v>24</v>
      </c>
      <c r="P36" s="12">
        <v>6</v>
      </c>
      <c r="Q36" s="18" t="s">
        <v>205</v>
      </c>
      <c r="S36" s="18" t="s">
        <v>39</v>
      </c>
      <c r="T36" s="12" t="s">
        <v>40</v>
      </c>
      <c r="U36" s="18" t="str">
        <f t="shared" ca="1" si="2"/>
        <v>57 Tahun, 5 Bulan, 5 Hari</v>
      </c>
      <c r="V36" s="12" t="s">
        <v>228</v>
      </c>
      <c r="W36" s="18"/>
      <c r="X36" s="18"/>
    </row>
    <row r="37" spans="1:24" x14ac:dyDescent="0.35">
      <c r="A37" s="18">
        <v>28</v>
      </c>
      <c r="B37" s="15" t="s">
        <v>71</v>
      </c>
      <c r="C37" s="32" t="s">
        <v>112</v>
      </c>
      <c r="D37" s="12" t="s">
        <v>138</v>
      </c>
      <c r="E37" s="18" t="s">
        <v>143</v>
      </c>
      <c r="F37" s="12" t="s">
        <v>171</v>
      </c>
      <c r="G37" s="21">
        <v>24725</v>
      </c>
      <c r="H37" s="16">
        <v>36220</v>
      </c>
      <c r="I37" s="18">
        <f t="shared" ca="1" si="0"/>
        <v>25</v>
      </c>
      <c r="J37" s="12">
        <f t="shared" ca="1" si="1"/>
        <v>7</v>
      </c>
      <c r="K37" s="18" t="s">
        <v>914</v>
      </c>
      <c r="L37" s="18"/>
      <c r="M37" s="18" t="s">
        <v>180</v>
      </c>
      <c r="N37" s="16">
        <v>43556</v>
      </c>
      <c r="O37" s="18">
        <v>15</v>
      </c>
      <c r="P37" s="12">
        <v>1</v>
      </c>
      <c r="Q37" s="18" t="s">
        <v>208</v>
      </c>
      <c r="S37" s="18" t="s">
        <v>220</v>
      </c>
      <c r="T37" s="12" t="s">
        <v>40</v>
      </c>
      <c r="U37" s="18" t="str">
        <f t="shared" ca="1" si="2"/>
        <v>57 Tahun, 0 Bulan, 28 Hari</v>
      </c>
      <c r="V37" s="12" t="s">
        <v>233</v>
      </c>
      <c r="W37" s="18"/>
      <c r="X37" s="18"/>
    </row>
    <row r="38" spans="1:24" x14ac:dyDescent="0.35">
      <c r="A38" s="18">
        <v>29</v>
      </c>
      <c r="B38" s="15" t="s">
        <v>72</v>
      </c>
      <c r="C38" s="32" t="s">
        <v>113</v>
      </c>
      <c r="D38" s="12" t="s">
        <v>126</v>
      </c>
      <c r="E38" s="18" t="s">
        <v>131</v>
      </c>
      <c r="F38" s="12" t="s">
        <v>172</v>
      </c>
      <c r="G38" s="21">
        <v>28401</v>
      </c>
      <c r="H38" s="16">
        <v>36220</v>
      </c>
      <c r="I38" s="18">
        <f t="shared" ca="1" si="0"/>
        <v>25</v>
      </c>
      <c r="J38" s="12">
        <f t="shared" ca="1" si="1"/>
        <v>7</v>
      </c>
      <c r="K38" s="18" t="s">
        <v>914</v>
      </c>
      <c r="L38" s="18"/>
      <c r="M38" s="18" t="s">
        <v>179</v>
      </c>
      <c r="N38" s="16">
        <v>45017</v>
      </c>
      <c r="O38" s="18">
        <v>19</v>
      </c>
      <c r="P38" s="12">
        <v>1</v>
      </c>
      <c r="Q38" s="18" t="s">
        <v>209</v>
      </c>
      <c r="S38" s="18" t="s">
        <v>220</v>
      </c>
      <c r="T38" s="12" t="s">
        <v>40</v>
      </c>
      <c r="U38" s="18" t="str">
        <f t="shared" ca="1" si="2"/>
        <v>47 Tahun, 0 Bulan, 5 Hari</v>
      </c>
      <c r="V38" s="12" t="s">
        <v>235</v>
      </c>
      <c r="W38" s="18"/>
      <c r="X38" s="18"/>
    </row>
    <row r="39" spans="1:24" x14ac:dyDescent="0.35">
      <c r="A39" s="18">
        <v>30</v>
      </c>
      <c r="B39" s="15" t="s">
        <v>73</v>
      </c>
      <c r="C39" s="32" t="s">
        <v>114</v>
      </c>
      <c r="D39" s="12" t="s">
        <v>126</v>
      </c>
      <c r="E39" s="18" t="s">
        <v>131</v>
      </c>
      <c r="F39" s="12" t="s">
        <v>171</v>
      </c>
      <c r="G39" s="21">
        <v>29427</v>
      </c>
      <c r="H39" s="16">
        <v>36586</v>
      </c>
      <c r="I39" s="18">
        <f t="shared" ca="1" si="0"/>
        <v>24</v>
      </c>
      <c r="J39" s="12">
        <f t="shared" ca="1" si="1"/>
        <v>7</v>
      </c>
      <c r="K39" s="18" t="s">
        <v>914</v>
      </c>
      <c r="L39" s="18"/>
      <c r="M39" s="18" t="s">
        <v>179</v>
      </c>
      <c r="N39" s="16">
        <v>45200</v>
      </c>
      <c r="O39" s="18">
        <v>18</v>
      </c>
      <c r="P39" s="12">
        <v>7</v>
      </c>
      <c r="Q39" s="18" t="s">
        <v>210</v>
      </c>
      <c r="S39" s="18" t="s">
        <v>220</v>
      </c>
      <c r="T39" s="12" t="s">
        <v>40</v>
      </c>
      <c r="U39" s="18" t="str">
        <f t="shared" ca="1" si="2"/>
        <v>44 Tahun, 2 Bulan, 13 Hari</v>
      </c>
      <c r="V39" s="12" t="s">
        <v>236</v>
      </c>
      <c r="W39" s="18"/>
      <c r="X39" s="18"/>
    </row>
    <row r="40" spans="1:24" x14ac:dyDescent="0.35">
      <c r="A40" s="18">
        <v>31</v>
      </c>
      <c r="B40" s="15" t="s">
        <v>74</v>
      </c>
      <c r="C40" s="32" t="s">
        <v>115</v>
      </c>
      <c r="D40" s="12" t="s">
        <v>126</v>
      </c>
      <c r="E40" s="18" t="s">
        <v>130</v>
      </c>
      <c r="F40" s="12" t="s">
        <v>173</v>
      </c>
      <c r="G40" s="21">
        <v>29449</v>
      </c>
      <c r="H40" s="16">
        <v>40148</v>
      </c>
      <c r="I40" s="18">
        <f t="shared" ca="1" si="0"/>
        <v>14</v>
      </c>
      <c r="J40" s="12">
        <f t="shared" ca="1" si="1"/>
        <v>10</v>
      </c>
      <c r="K40" s="18" t="s">
        <v>914</v>
      </c>
      <c r="L40" s="18"/>
      <c r="M40" s="18" t="s">
        <v>180</v>
      </c>
      <c r="N40" s="16">
        <v>44105</v>
      </c>
      <c r="O40" s="18">
        <v>8</v>
      </c>
      <c r="P40" s="12">
        <v>10</v>
      </c>
      <c r="Q40" s="18" t="s">
        <v>211</v>
      </c>
      <c r="S40" s="18" t="s">
        <v>220</v>
      </c>
      <c r="T40" s="12" t="s">
        <v>219</v>
      </c>
      <c r="U40" s="18" t="str">
        <f t="shared" ca="1" si="2"/>
        <v>44 Tahun, 1 Bulan, 22 Hari</v>
      </c>
      <c r="V40" s="12" t="s">
        <v>237</v>
      </c>
      <c r="W40" s="18"/>
      <c r="X40" s="18"/>
    </row>
    <row r="41" spans="1:24" x14ac:dyDescent="0.35">
      <c r="A41" s="18">
        <v>32</v>
      </c>
      <c r="B41" s="15" t="s">
        <v>75</v>
      </c>
      <c r="C41" s="32" t="s">
        <v>116</v>
      </c>
      <c r="D41" s="12" t="s">
        <v>126</v>
      </c>
      <c r="E41" s="18" t="s">
        <v>130</v>
      </c>
      <c r="F41" s="12" t="s">
        <v>174</v>
      </c>
      <c r="G41" s="21">
        <v>31745</v>
      </c>
      <c r="H41" s="16">
        <v>40148</v>
      </c>
      <c r="I41" s="18">
        <f t="shared" ca="1" si="0"/>
        <v>14</v>
      </c>
      <c r="J41" s="12">
        <f t="shared" ca="1" si="1"/>
        <v>10</v>
      </c>
      <c r="K41" s="18" t="s">
        <v>914</v>
      </c>
      <c r="L41" s="18"/>
      <c r="M41" s="18" t="s">
        <v>180</v>
      </c>
      <c r="N41" s="16">
        <v>44105</v>
      </c>
      <c r="O41" s="18">
        <v>8</v>
      </c>
      <c r="P41" s="12">
        <v>10</v>
      </c>
      <c r="Q41" s="18" t="s">
        <v>212</v>
      </c>
      <c r="S41" s="18" t="s">
        <v>220</v>
      </c>
      <c r="T41" s="12" t="s">
        <v>40</v>
      </c>
      <c r="U41" s="18" t="str">
        <f t="shared" ca="1" si="2"/>
        <v>37 Tahun, 10 Bulan, 9 Hari</v>
      </c>
      <c r="V41" s="12" t="s">
        <v>238</v>
      </c>
      <c r="W41" s="18"/>
      <c r="X41" s="18"/>
    </row>
    <row r="42" spans="1:24" x14ac:dyDescent="0.35">
      <c r="A42" s="18">
        <v>33</v>
      </c>
      <c r="B42" s="15" t="s">
        <v>76</v>
      </c>
      <c r="C42" s="32" t="s">
        <v>117</v>
      </c>
      <c r="D42" s="12" t="s">
        <v>144</v>
      </c>
      <c r="E42" s="18" t="s">
        <v>145</v>
      </c>
      <c r="F42" s="12" t="s">
        <v>35</v>
      </c>
      <c r="G42" s="21">
        <v>25882</v>
      </c>
      <c r="H42" s="16">
        <v>36861</v>
      </c>
      <c r="I42" s="18">
        <f t="shared" ca="1" si="0"/>
        <v>23</v>
      </c>
      <c r="J42" s="12">
        <f t="shared" ca="1" si="1"/>
        <v>10</v>
      </c>
      <c r="K42" s="18" t="s">
        <v>914</v>
      </c>
      <c r="L42" s="18"/>
      <c r="M42" s="18" t="s">
        <v>180</v>
      </c>
      <c r="N42" s="16">
        <v>44287</v>
      </c>
      <c r="O42" s="18">
        <v>15</v>
      </c>
      <c r="P42" s="12">
        <v>4</v>
      </c>
      <c r="Q42" s="18" t="s">
        <v>213</v>
      </c>
      <c r="S42" s="18" t="s">
        <v>39</v>
      </c>
      <c r="T42" s="12" t="s">
        <v>40</v>
      </c>
      <c r="U42" s="18" t="str">
        <f t="shared" ca="1" si="2"/>
        <v>53 Tahun, 10 Bulan, 28 Hari</v>
      </c>
      <c r="V42" s="12" t="s">
        <v>239</v>
      </c>
      <c r="W42" s="18"/>
      <c r="X42" s="18"/>
    </row>
    <row r="43" spans="1:24" x14ac:dyDescent="0.35">
      <c r="A43" s="18">
        <v>34</v>
      </c>
      <c r="B43" s="15" t="s">
        <v>77</v>
      </c>
      <c r="C43" s="32" t="s">
        <v>118</v>
      </c>
      <c r="D43" s="12" t="s">
        <v>126</v>
      </c>
      <c r="E43" s="18" t="s">
        <v>146</v>
      </c>
      <c r="F43" s="12" t="s">
        <v>175</v>
      </c>
      <c r="G43" s="21">
        <v>30431</v>
      </c>
      <c r="H43" s="16">
        <v>39783</v>
      </c>
      <c r="I43" s="18">
        <f t="shared" ca="1" si="0"/>
        <v>15</v>
      </c>
      <c r="J43" s="12">
        <f t="shared" ca="1" si="1"/>
        <v>10</v>
      </c>
      <c r="K43" s="18" t="s">
        <v>914</v>
      </c>
      <c r="L43" s="18"/>
      <c r="M43" s="18" t="s">
        <v>180</v>
      </c>
      <c r="N43" s="16">
        <v>44287</v>
      </c>
      <c r="O43" s="18">
        <v>10</v>
      </c>
      <c r="P43" s="12">
        <v>4</v>
      </c>
      <c r="Q43" s="18" t="s">
        <v>214</v>
      </c>
      <c r="S43" s="18" t="s">
        <v>39</v>
      </c>
      <c r="T43" s="12" t="s">
        <v>40</v>
      </c>
      <c r="U43" s="18" t="str">
        <f t="shared" ca="1" si="2"/>
        <v>41 Tahun, 5 Bulan, 13 Hari</v>
      </c>
      <c r="V43" s="12" t="s">
        <v>240</v>
      </c>
      <c r="W43" s="18"/>
      <c r="X43" s="18"/>
    </row>
    <row r="44" spans="1:24" x14ac:dyDescent="0.35">
      <c r="A44" s="18">
        <v>35</v>
      </c>
      <c r="B44" s="15" t="s">
        <v>78</v>
      </c>
      <c r="C44" s="32" t="s">
        <v>119</v>
      </c>
      <c r="D44" s="12" t="s">
        <v>126</v>
      </c>
      <c r="E44" s="18" t="s">
        <v>146</v>
      </c>
      <c r="F44" s="12" t="s">
        <v>35</v>
      </c>
      <c r="G44" s="21">
        <v>31894</v>
      </c>
      <c r="H44" s="16">
        <v>40148</v>
      </c>
      <c r="I44" s="18">
        <f t="shared" ca="1" si="0"/>
        <v>14</v>
      </c>
      <c r="J44" s="12">
        <f t="shared" ca="1" si="1"/>
        <v>10</v>
      </c>
      <c r="K44" s="18" t="s">
        <v>914</v>
      </c>
      <c r="L44" s="18"/>
      <c r="M44" s="18" t="s">
        <v>180</v>
      </c>
      <c r="N44" s="16">
        <v>44835</v>
      </c>
      <c r="O44" s="18">
        <v>10</v>
      </c>
      <c r="P44" s="12">
        <v>10</v>
      </c>
      <c r="Q44" s="18" t="s">
        <v>215</v>
      </c>
      <c r="S44" s="18" t="s">
        <v>220</v>
      </c>
      <c r="T44" s="12" t="s">
        <v>40</v>
      </c>
      <c r="U44" s="18" t="str">
        <f t="shared" ca="1" si="2"/>
        <v>37 Tahun, 5 Bulan, 11 Hari</v>
      </c>
      <c r="V44" s="12" t="s">
        <v>241</v>
      </c>
      <c r="W44" s="18"/>
      <c r="X44" s="18"/>
    </row>
    <row r="45" spans="1:24" x14ac:dyDescent="0.35">
      <c r="A45" s="18">
        <v>36</v>
      </c>
      <c r="B45" s="15" t="s">
        <v>79</v>
      </c>
      <c r="C45" s="32" t="s">
        <v>120</v>
      </c>
      <c r="D45" s="12" t="s">
        <v>133</v>
      </c>
      <c r="E45" s="18" t="s">
        <v>147</v>
      </c>
      <c r="F45" s="12" t="s">
        <v>166</v>
      </c>
      <c r="G45" s="21">
        <v>32427</v>
      </c>
      <c r="H45" s="16">
        <v>40513</v>
      </c>
      <c r="I45" s="18">
        <f t="shared" ca="1" si="0"/>
        <v>13</v>
      </c>
      <c r="J45" s="12">
        <f t="shared" ca="1" si="1"/>
        <v>10</v>
      </c>
      <c r="K45" s="18" t="s">
        <v>914</v>
      </c>
      <c r="L45" s="18"/>
      <c r="M45" s="18" t="s">
        <v>180</v>
      </c>
      <c r="N45" s="16">
        <v>45200</v>
      </c>
      <c r="O45" s="18">
        <v>10</v>
      </c>
      <c r="P45" s="12">
        <v>10</v>
      </c>
      <c r="Q45" s="18" t="s">
        <v>216</v>
      </c>
      <c r="S45" s="18" t="s">
        <v>39</v>
      </c>
      <c r="T45" s="12" t="s">
        <v>40</v>
      </c>
      <c r="U45" s="18" t="str">
        <f t="shared" ca="1" si="2"/>
        <v>35 Tahun, 11 Bulan, 27 Hari</v>
      </c>
      <c r="V45" s="12" t="s">
        <v>242</v>
      </c>
      <c r="W45" s="18"/>
      <c r="X45" s="18"/>
    </row>
    <row r="46" spans="1:24" x14ac:dyDescent="0.35">
      <c r="A46" s="18">
        <v>37</v>
      </c>
      <c r="B46" s="15" t="s">
        <v>80</v>
      </c>
      <c r="C46" s="32" t="s">
        <v>121</v>
      </c>
      <c r="D46" s="12" t="s">
        <v>144</v>
      </c>
      <c r="E46" s="18" t="s">
        <v>148</v>
      </c>
      <c r="F46" s="12" t="s">
        <v>35</v>
      </c>
      <c r="G46" s="21">
        <v>26389</v>
      </c>
      <c r="H46" s="16">
        <v>38353</v>
      </c>
      <c r="I46" s="18">
        <f t="shared" ca="1" si="0"/>
        <v>19</v>
      </c>
      <c r="J46" s="12">
        <f t="shared" ca="1" si="1"/>
        <v>9</v>
      </c>
      <c r="K46" s="18" t="s">
        <v>914</v>
      </c>
      <c r="L46" s="18"/>
      <c r="M46" s="18" t="s">
        <v>181</v>
      </c>
      <c r="N46" s="16">
        <v>44470</v>
      </c>
      <c r="O46" s="18">
        <v>11</v>
      </c>
      <c r="P46" s="12">
        <v>9</v>
      </c>
      <c r="Q46" s="18" t="s">
        <v>217</v>
      </c>
      <c r="S46" s="18" t="s">
        <v>220</v>
      </c>
      <c r="T46" s="12" t="s">
        <v>40</v>
      </c>
      <c r="U46" s="18" t="str">
        <f t="shared" ca="1" si="2"/>
        <v>52 Tahun, 6 Bulan, 7 Hari</v>
      </c>
      <c r="V46" s="12" t="s">
        <v>228</v>
      </c>
      <c r="W46" s="18"/>
      <c r="X46" s="18"/>
    </row>
    <row r="47" spans="1:24" x14ac:dyDescent="0.35">
      <c r="A47" s="18">
        <v>38</v>
      </c>
      <c r="B47" s="15" t="s">
        <v>81</v>
      </c>
      <c r="C47" s="32" t="s">
        <v>122</v>
      </c>
      <c r="D47" s="12" t="s">
        <v>144</v>
      </c>
      <c r="E47" s="18" t="s">
        <v>145</v>
      </c>
      <c r="F47" s="12" t="s">
        <v>35</v>
      </c>
      <c r="G47" s="21">
        <v>26545</v>
      </c>
      <c r="H47" s="16">
        <v>38353</v>
      </c>
      <c r="I47" s="18">
        <f t="shared" ca="1" si="0"/>
        <v>19</v>
      </c>
      <c r="J47" s="12">
        <f t="shared" ca="1" si="1"/>
        <v>9</v>
      </c>
      <c r="K47" s="18" t="s">
        <v>914</v>
      </c>
      <c r="L47" s="18"/>
      <c r="M47" s="18" t="s">
        <v>181</v>
      </c>
      <c r="N47" s="16">
        <v>44287</v>
      </c>
      <c r="O47" s="18">
        <v>12</v>
      </c>
      <c r="P47" s="12">
        <v>3</v>
      </c>
      <c r="Q47" s="18" t="s">
        <v>218</v>
      </c>
      <c r="S47" s="18" t="s">
        <v>39</v>
      </c>
      <c r="T47" s="12" t="s">
        <v>40</v>
      </c>
      <c r="U47" s="18" t="str">
        <f t="shared" ca="1" si="2"/>
        <v>52 Tahun, 1 Bulan, 5 Hari</v>
      </c>
      <c r="V47" s="12" t="s">
        <v>233</v>
      </c>
      <c r="W47" s="18"/>
      <c r="X47" s="18"/>
    </row>
    <row r="48" spans="1:24" x14ac:dyDescent="0.35">
      <c r="A48" s="18">
        <v>39</v>
      </c>
      <c r="B48" s="15" t="s">
        <v>82</v>
      </c>
      <c r="C48" s="32" t="s">
        <v>123</v>
      </c>
      <c r="D48" s="12" t="s">
        <v>133</v>
      </c>
      <c r="E48" s="18" t="s">
        <v>149</v>
      </c>
      <c r="F48" s="12" t="s">
        <v>176</v>
      </c>
      <c r="G48" s="21">
        <v>35896</v>
      </c>
      <c r="H48" s="16">
        <v>44621</v>
      </c>
      <c r="I48" s="18">
        <f t="shared" ca="1" si="0"/>
        <v>2</v>
      </c>
      <c r="J48" s="12">
        <f t="shared" ca="1" si="1"/>
        <v>7</v>
      </c>
      <c r="K48" s="18" t="s">
        <v>914</v>
      </c>
      <c r="L48" s="18"/>
      <c r="M48" s="18" t="s">
        <v>182</v>
      </c>
      <c r="N48" s="16">
        <v>44621</v>
      </c>
      <c r="O48" s="18">
        <v>3</v>
      </c>
      <c r="P48" s="12">
        <v>0</v>
      </c>
      <c r="Q48" s="18"/>
      <c r="S48" s="18" t="s">
        <v>39</v>
      </c>
      <c r="T48" s="12" t="s">
        <v>40</v>
      </c>
      <c r="U48" s="18" t="str">
        <f t="shared" ca="1" si="2"/>
        <v>26 Tahun, 5 Bulan, 27 Hari</v>
      </c>
      <c r="V48" s="12" t="s">
        <v>243</v>
      </c>
      <c r="W48" s="18"/>
      <c r="X48" s="18"/>
    </row>
    <row r="49" spans="1:24" x14ac:dyDescent="0.35">
      <c r="A49" s="18">
        <v>40</v>
      </c>
      <c r="B49" s="15" t="s">
        <v>83</v>
      </c>
      <c r="C49" s="32" t="s">
        <v>124</v>
      </c>
      <c r="D49" s="12" t="s">
        <v>133</v>
      </c>
      <c r="E49" s="18" t="s">
        <v>150</v>
      </c>
      <c r="F49" s="12" t="s">
        <v>35</v>
      </c>
      <c r="G49" s="21">
        <v>33187</v>
      </c>
      <c r="H49" s="16">
        <v>44621</v>
      </c>
      <c r="I49" s="18">
        <f t="shared" ca="1" si="0"/>
        <v>2</v>
      </c>
      <c r="J49" s="12">
        <f t="shared" ca="1" si="1"/>
        <v>7</v>
      </c>
      <c r="K49" s="18" t="s">
        <v>914</v>
      </c>
      <c r="L49" s="18"/>
      <c r="M49" s="18" t="s">
        <v>182</v>
      </c>
      <c r="N49" s="16">
        <v>44621</v>
      </c>
      <c r="O49" s="18">
        <v>3</v>
      </c>
      <c r="P49" s="12">
        <v>0</v>
      </c>
      <c r="Q49" s="18"/>
      <c r="S49" s="18" t="s">
        <v>220</v>
      </c>
      <c r="T49" s="12" t="s">
        <v>40</v>
      </c>
      <c r="U49" s="18" t="str">
        <f t="shared" ca="1" si="2"/>
        <v>33 Tahun, 10 Bulan, 28 Hari</v>
      </c>
      <c r="V49" s="12" t="s">
        <v>243</v>
      </c>
      <c r="W49" s="18"/>
      <c r="X49" s="18"/>
    </row>
    <row r="50" spans="1:24" x14ac:dyDescent="0.35">
      <c r="A50" s="18">
        <v>41</v>
      </c>
      <c r="B50" s="15" t="s">
        <v>84</v>
      </c>
      <c r="C50" s="32" t="s">
        <v>125</v>
      </c>
      <c r="D50" s="12" t="s">
        <v>133</v>
      </c>
      <c r="E50" s="18" t="s">
        <v>150</v>
      </c>
      <c r="F50" s="12" t="s">
        <v>35</v>
      </c>
      <c r="G50" s="21">
        <v>36238</v>
      </c>
      <c r="H50" s="16">
        <v>44621</v>
      </c>
      <c r="I50" s="18">
        <f ca="1">DATEDIF(H50,$A$5,"Y")</f>
        <v>2</v>
      </c>
      <c r="J50" s="12">
        <f ca="1">DATEDIF(H50,$A$5,"YM")</f>
        <v>7</v>
      </c>
      <c r="K50" s="18" t="s">
        <v>914</v>
      </c>
      <c r="L50" s="18"/>
      <c r="M50" s="18" t="s">
        <v>182</v>
      </c>
      <c r="N50" s="16">
        <v>44621</v>
      </c>
      <c r="O50" s="18">
        <v>3</v>
      </c>
      <c r="P50" s="12">
        <v>0</v>
      </c>
      <c r="Q50" s="18"/>
      <c r="S50" s="18" t="s">
        <v>220</v>
      </c>
      <c r="T50" s="12" t="s">
        <v>40</v>
      </c>
      <c r="U50" s="18" t="str">
        <f ca="1">DATEDIF(G50,$A$5,"Y") &amp;" Tahun, "&amp;DATEDIF(G50,$A$5,"YM") &amp;" Bulan, "&amp;DATEDIF(G50,$A$5,"MD") &amp;" Hari"</f>
        <v>25 Tahun, 6 Bulan, 19 Hari</v>
      </c>
      <c r="V50" s="12" t="s">
        <v>243</v>
      </c>
      <c r="W50" s="18"/>
      <c r="X50" s="18"/>
    </row>
    <row r="51" spans="1:24" x14ac:dyDescent="0.35">
      <c r="A51" s="18">
        <v>42</v>
      </c>
      <c r="B51" s="15" t="s">
        <v>1008</v>
      </c>
      <c r="C51" s="32" t="s">
        <v>1142</v>
      </c>
      <c r="D51" s="12" t="s">
        <v>126</v>
      </c>
      <c r="E51" s="18" t="s">
        <v>468</v>
      </c>
      <c r="F51" s="12" t="s">
        <v>35</v>
      </c>
      <c r="G51" s="21">
        <v>33664</v>
      </c>
      <c r="H51" s="16" t="s">
        <v>1143</v>
      </c>
      <c r="I51" s="18" t="e">
        <f ca="1">DATEDIF(H51,$A$5,"Y")</f>
        <v>#VALUE!</v>
      </c>
      <c r="J51" s="12" t="e">
        <f ca="1">DATEDIF(H51,$A$5,"YM")</f>
        <v>#VALUE!</v>
      </c>
      <c r="K51" s="18" t="s">
        <v>914</v>
      </c>
      <c r="L51" s="18"/>
      <c r="M51" s="18" t="s">
        <v>1144</v>
      </c>
      <c r="N51" s="16" t="s">
        <v>1143</v>
      </c>
      <c r="O51" s="18">
        <v>0</v>
      </c>
      <c r="P51" s="12">
        <v>0</v>
      </c>
      <c r="Q51" s="18"/>
      <c r="S51" s="18" t="s">
        <v>39</v>
      </c>
      <c r="T51" s="12" t="s">
        <v>40</v>
      </c>
      <c r="U51" s="18" t="str">
        <f ca="1">DATEDIF(G51,$A$5,"Y") &amp;" Tahun, "&amp;DATEDIF(G51,$A$5,"YM") &amp;" Bulan, "&amp;DATEDIF(G51,$A$5,"MD") &amp;" Hari"</f>
        <v>32 Tahun, 7 Bulan, 7 Hari</v>
      </c>
      <c r="V51" s="12" t="s">
        <v>1145</v>
      </c>
      <c r="W51" s="18"/>
      <c r="X51" s="18"/>
    </row>
    <row r="52" spans="1:24" x14ac:dyDescent="0.35">
      <c r="G52" s="16"/>
      <c r="H52" s="16"/>
      <c r="N52" s="16"/>
    </row>
    <row r="53" spans="1:24" x14ac:dyDescent="0.35">
      <c r="G53" s="16"/>
      <c r="H53" s="16"/>
      <c r="N53" s="16"/>
    </row>
    <row r="54" spans="1:24" x14ac:dyDescent="0.35">
      <c r="G54" s="16"/>
      <c r="H54" s="16"/>
      <c r="N54" s="16"/>
    </row>
  </sheetData>
  <mergeCells count="25">
    <mergeCell ref="A1:D1"/>
    <mergeCell ref="A3:B3"/>
    <mergeCell ref="U7:U8"/>
    <mergeCell ref="V7:V8"/>
    <mergeCell ref="X7:X8"/>
    <mergeCell ref="C7:C8"/>
    <mergeCell ref="A5:D5"/>
    <mergeCell ref="W7:W8"/>
    <mergeCell ref="M7:M8"/>
    <mergeCell ref="N7:N8"/>
    <mergeCell ref="Q7:Q8"/>
    <mergeCell ref="R7:R8"/>
    <mergeCell ref="T7:T8"/>
    <mergeCell ref="O7:P7"/>
    <mergeCell ref="I7:J7"/>
    <mergeCell ref="G7:G8"/>
    <mergeCell ref="L7:L8"/>
    <mergeCell ref="H7:H8"/>
    <mergeCell ref="A4:B4"/>
    <mergeCell ref="A7:A8"/>
    <mergeCell ref="B7:B8"/>
    <mergeCell ref="D7:D8"/>
    <mergeCell ref="E7:E8"/>
    <mergeCell ref="F7:F8"/>
    <mergeCell ref="K7:K8"/>
  </mergeCells>
  <phoneticPr fontId="13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1DBAD-F523-4A4D-A8EB-EF2ACE40F7D8}">
  <sheetPr>
    <tabColor theme="9" tint="0.39997558519241921"/>
  </sheetPr>
  <dimension ref="A1:X19"/>
  <sheetViews>
    <sheetView topLeftCell="J1" zoomScaleNormal="100" workbookViewId="0">
      <selection activeCell="K9" sqref="K9"/>
    </sheetView>
  </sheetViews>
  <sheetFormatPr defaultColWidth="10.83203125" defaultRowHeight="15.5" x14ac:dyDescent="0.35"/>
  <cols>
    <col min="1" max="1" width="5" style="12" customWidth="1"/>
    <col min="2" max="2" width="38" style="15" bestFit="1" customWidth="1"/>
    <col min="3" max="3" width="19.33203125" style="33" bestFit="1" customWidth="1"/>
    <col min="4" max="4" width="11.83203125" style="12" bestFit="1" customWidth="1"/>
    <col min="5" max="5" width="23" style="12" bestFit="1" customWidth="1"/>
    <col min="6" max="6" width="13.5" style="12" bestFit="1" customWidth="1"/>
    <col min="7" max="7" width="14.83203125" style="12" bestFit="1" customWidth="1"/>
    <col min="8" max="8" width="10.83203125" style="12" bestFit="1" customWidth="1"/>
    <col min="9" max="9" width="7.33203125" style="12" bestFit="1" customWidth="1"/>
    <col min="10" max="10" width="7" style="12" bestFit="1" customWidth="1"/>
    <col min="11" max="11" width="11" style="12" bestFit="1" customWidth="1"/>
    <col min="12" max="12" width="14.1640625" style="12" bestFit="1" customWidth="1"/>
    <col min="13" max="13" width="11.1640625" style="12" bestFit="1" customWidth="1"/>
    <col min="14" max="14" width="15.33203125" style="12" bestFit="1" customWidth="1"/>
    <col min="15" max="15" width="7.33203125" style="12" bestFit="1" customWidth="1"/>
    <col min="16" max="16" width="7" style="12" bestFit="1" customWidth="1"/>
    <col min="17" max="17" width="10.83203125" style="12" bestFit="1" customWidth="1"/>
    <col min="18" max="18" width="6.33203125" style="12" bestFit="1" customWidth="1"/>
    <col min="19" max="19" width="13.83203125" style="12" bestFit="1" customWidth="1"/>
    <col min="20" max="20" width="7.6640625" style="12" bestFit="1" customWidth="1"/>
    <col min="21" max="21" width="24" style="12" bestFit="1" customWidth="1"/>
    <col min="22" max="22" width="20.6640625" style="12" bestFit="1" customWidth="1"/>
    <col min="23" max="23" width="13.5" style="12" bestFit="1" customWidth="1"/>
    <col min="24" max="24" width="15" style="12" bestFit="1" customWidth="1"/>
    <col min="25" max="16384" width="10.83203125" style="15"/>
  </cols>
  <sheetData>
    <row r="1" spans="1:24" ht="26" x14ac:dyDescent="0.35">
      <c r="A1" s="191" t="s">
        <v>44</v>
      </c>
      <c r="B1" s="191"/>
      <c r="C1" s="191"/>
      <c r="D1" s="191"/>
    </row>
    <row r="3" spans="1:24" ht="21" x14ac:dyDescent="0.35">
      <c r="A3" s="204" t="s">
        <v>244</v>
      </c>
      <c r="B3" s="204"/>
      <c r="C3" s="28"/>
      <c r="D3" s="17"/>
    </row>
    <row r="4" spans="1:24" x14ac:dyDescent="0.35">
      <c r="A4" s="183" t="str">
        <f>Administrasi!A4</f>
        <v>KEADAAN : APRIL 2024</v>
      </c>
      <c r="B4" s="183"/>
      <c r="C4" s="29"/>
      <c r="D4" s="13"/>
    </row>
    <row r="5" spans="1:24" x14ac:dyDescent="0.35">
      <c r="A5" s="195">
        <f ca="1">NOW()</f>
        <v>45573.481386574073</v>
      </c>
      <c r="B5" s="183"/>
      <c r="C5" s="183"/>
      <c r="D5" s="183"/>
    </row>
    <row r="7" spans="1:24" s="13" customFormat="1" ht="17" customHeight="1" x14ac:dyDescent="0.35">
      <c r="A7" s="203" t="s">
        <v>13</v>
      </c>
      <c r="B7" s="205" t="s">
        <v>14</v>
      </c>
      <c r="C7" s="206" t="s">
        <v>19</v>
      </c>
      <c r="D7" s="208" t="s">
        <v>15</v>
      </c>
      <c r="E7" s="203" t="s">
        <v>18</v>
      </c>
      <c r="F7" s="212" t="s">
        <v>16</v>
      </c>
      <c r="G7" s="203" t="s">
        <v>17</v>
      </c>
      <c r="H7" s="213" t="s">
        <v>36</v>
      </c>
      <c r="I7" s="214" t="s">
        <v>30</v>
      </c>
      <c r="J7" s="215"/>
      <c r="K7" s="216" t="s">
        <v>1215</v>
      </c>
      <c r="L7" s="210" t="s">
        <v>268</v>
      </c>
      <c r="M7" s="203" t="s">
        <v>20</v>
      </c>
      <c r="N7" s="213" t="s">
        <v>21</v>
      </c>
      <c r="O7" s="220" t="s">
        <v>29</v>
      </c>
      <c r="P7" s="221"/>
      <c r="Q7" s="203" t="s">
        <v>22</v>
      </c>
      <c r="R7" s="212" t="s">
        <v>23</v>
      </c>
      <c r="S7" s="38" t="s">
        <v>31</v>
      </c>
      <c r="T7" s="222" t="s">
        <v>25</v>
      </c>
      <c r="U7" s="203" t="s">
        <v>26</v>
      </c>
      <c r="V7" s="212" t="s">
        <v>258</v>
      </c>
      <c r="W7" s="218" t="s">
        <v>42</v>
      </c>
      <c r="X7" s="203" t="s">
        <v>28</v>
      </c>
    </row>
    <row r="8" spans="1:24" s="13" customFormat="1" x14ac:dyDescent="0.35">
      <c r="A8" s="203"/>
      <c r="B8" s="205"/>
      <c r="C8" s="207"/>
      <c r="D8" s="209"/>
      <c r="E8" s="203"/>
      <c r="F8" s="212"/>
      <c r="G8" s="203"/>
      <c r="H8" s="213"/>
      <c r="I8" s="38" t="s">
        <v>3</v>
      </c>
      <c r="J8" s="39" t="s">
        <v>4</v>
      </c>
      <c r="K8" s="217"/>
      <c r="L8" s="211"/>
      <c r="M8" s="203"/>
      <c r="N8" s="212"/>
      <c r="O8" s="38" t="s">
        <v>3</v>
      </c>
      <c r="P8" s="40" t="s">
        <v>4</v>
      </c>
      <c r="Q8" s="203"/>
      <c r="R8" s="212"/>
      <c r="S8" s="38" t="s">
        <v>24</v>
      </c>
      <c r="T8" s="222"/>
      <c r="U8" s="203"/>
      <c r="V8" s="212"/>
      <c r="W8" s="219"/>
      <c r="X8" s="203"/>
    </row>
    <row r="9" spans="1:24" s="22" customFormat="1" ht="16" thickBot="1" x14ac:dyDescent="0.4">
      <c r="A9" s="41">
        <v>1</v>
      </c>
      <c r="B9" s="42">
        <v>2</v>
      </c>
      <c r="C9" s="43">
        <v>3</v>
      </c>
      <c r="D9" s="44">
        <v>4</v>
      </c>
      <c r="E9" s="41">
        <v>5</v>
      </c>
      <c r="F9" s="44">
        <v>6</v>
      </c>
      <c r="G9" s="41">
        <v>7</v>
      </c>
      <c r="H9" s="45">
        <v>8</v>
      </c>
      <c r="I9" s="41">
        <v>9</v>
      </c>
      <c r="J9" s="41">
        <v>10</v>
      </c>
      <c r="K9" s="41"/>
      <c r="L9" s="41">
        <v>11</v>
      </c>
      <c r="M9" s="42">
        <v>12</v>
      </c>
      <c r="N9" s="41">
        <v>13</v>
      </c>
      <c r="O9" s="42">
        <v>14</v>
      </c>
      <c r="P9" s="41">
        <v>15</v>
      </c>
      <c r="Q9" s="42">
        <v>16</v>
      </c>
      <c r="R9" s="41">
        <v>17</v>
      </c>
      <c r="S9" s="42">
        <v>18</v>
      </c>
      <c r="T9" s="41">
        <v>19</v>
      </c>
      <c r="U9" s="42">
        <v>20</v>
      </c>
      <c r="V9" s="41">
        <v>21</v>
      </c>
      <c r="W9" s="42">
        <v>22</v>
      </c>
      <c r="X9" s="41">
        <v>23</v>
      </c>
    </row>
    <row r="10" spans="1:24" ht="16" thickTop="1" x14ac:dyDescent="0.35">
      <c r="A10" s="18">
        <v>1</v>
      </c>
      <c r="B10" s="15" t="s">
        <v>245</v>
      </c>
      <c r="C10" s="34" t="s">
        <v>1141</v>
      </c>
      <c r="D10" s="12" t="s">
        <v>126</v>
      </c>
      <c r="E10" s="18" t="s">
        <v>248</v>
      </c>
      <c r="F10" s="12" t="s">
        <v>251</v>
      </c>
      <c r="G10" s="21">
        <v>27037</v>
      </c>
      <c r="H10" s="16">
        <v>37226</v>
      </c>
      <c r="I10" s="27">
        <f ca="1">DATEDIF(H10,$A$5,"Y")</f>
        <v>22</v>
      </c>
      <c r="J10" s="50">
        <f ca="1">DATEDIF(H10,$A$5,"YM")</f>
        <v>10</v>
      </c>
      <c r="K10" s="50" t="s">
        <v>1131</v>
      </c>
      <c r="L10" s="49"/>
      <c r="M10" s="18" t="s">
        <v>178</v>
      </c>
      <c r="N10" s="16">
        <v>42095</v>
      </c>
      <c r="O10" s="18">
        <v>11</v>
      </c>
      <c r="P10" s="12">
        <v>4</v>
      </c>
      <c r="Q10" s="18" t="s">
        <v>255</v>
      </c>
      <c r="S10" s="18" t="s">
        <v>39</v>
      </c>
      <c r="T10" s="12" t="s">
        <v>40</v>
      </c>
      <c r="U10" s="18" t="str">
        <f ca="1">DATEDIF(G10,$A$5,"Y") &amp;" Tahun, "&amp;DATEDIF(G10,$A$5,"YM") &amp;" Bulan, "&amp;DATEDIF(G10,$A$5,"MD") &amp;" Hari"</f>
        <v>50 Tahun, 9 Bulan, 0 Hari</v>
      </c>
      <c r="V10" s="12" t="s">
        <v>259</v>
      </c>
      <c r="W10" s="21">
        <v>45566</v>
      </c>
      <c r="X10" s="18"/>
    </row>
    <row r="11" spans="1:24" x14ac:dyDescent="0.35">
      <c r="A11" s="18">
        <v>2</v>
      </c>
      <c r="B11" s="15" t="s">
        <v>246</v>
      </c>
      <c r="C11" s="31" t="s">
        <v>253</v>
      </c>
      <c r="D11" s="12" t="s">
        <v>133</v>
      </c>
      <c r="E11" s="18" t="s">
        <v>249</v>
      </c>
      <c r="F11" s="12" t="s">
        <v>252</v>
      </c>
      <c r="G11" s="21">
        <v>27300</v>
      </c>
      <c r="H11" s="16">
        <v>37591</v>
      </c>
      <c r="I11" s="18">
        <f ca="1">DATEDIF(H11,$A$5,"Y")</f>
        <v>21</v>
      </c>
      <c r="J11" s="50">
        <f ca="1">DATEDIF(H11,$A$5,"YM")</f>
        <v>10</v>
      </c>
      <c r="K11" s="50" t="s">
        <v>1131</v>
      </c>
      <c r="L11" s="50"/>
      <c r="M11" s="18" t="s">
        <v>178</v>
      </c>
      <c r="N11" s="16">
        <v>45200</v>
      </c>
      <c r="O11" s="18">
        <v>18</v>
      </c>
      <c r="P11" s="12">
        <v>10</v>
      </c>
      <c r="Q11" s="18" t="s">
        <v>256</v>
      </c>
      <c r="S11" s="18" t="s">
        <v>220</v>
      </c>
      <c r="U11" s="18" t="str">
        <f ca="1">DATEDIF(G11,$A$5,"Y") &amp;" Tahun, "&amp;DATEDIF(G11,$A$5,"YM") &amp;" Bulan, "&amp;DATEDIF(G11,$A$5,"MD") &amp;" Hari"</f>
        <v>50 Tahun, 0 Bulan, 10 Hari</v>
      </c>
      <c r="V11" s="12" t="s">
        <v>260</v>
      </c>
      <c r="W11" s="21">
        <v>43101</v>
      </c>
      <c r="X11" s="18"/>
    </row>
    <row r="12" spans="1:24" x14ac:dyDescent="0.35">
      <c r="A12" s="18">
        <v>3</v>
      </c>
      <c r="B12" s="15" t="s">
        <v>247</v>
      </c>
      <c r="C12" s="32" t="s">
        <v>254</v>
      </c>
      <c r="D12" s="12" t="s">
        <v>126</v>
      </c>
      <c r="E12" s="18" t="s">
        <v>250</v>
      </c>
      <c r="F12" s="12" t="s">
        <v>35</v>
      </c>
      <c r="G12" s="21">
        <v>34315</v>
      </c>
      <c r="H12" s="16">
        <v>43525</v>
      </c>
      <c r="I12" s="18">
        <f ca="1">DATEDIF(H12,$A$5,"Y")</f>
        <v>5</v>
      </c>
      <c r="J12" s="50">
        <f ca="1">DATEDIF(H12,$A$5,"YM")</f>
        <v>7</v>
      </c>
      <c r="K12" s="50" t="s">
        <v>1131</v>
      </c>
      <c r="L12" s="50"/>
      <c r="M12" s="18" t="s">
        <v>181</v>
      </c>
      <c r="N12" s="16">
        <v>44197</v>
      </c>
      <c r="O12" s="18">
        <v>1</v>
      </c>
      <c r="P12" s="12">
        <v>10</v>
      </c>
      <c r="Q12" s="18" t="s">
        <v>257</v>
      </c>
      <c r="S12" s="18" t="s">
        <v>39</v>
      </c>
      <c r="T12" s="12" t="s">
        <v>40</v>
      </c>
      <c r="U12" s="18" t="str">
        <f ca="1">DATEDIF(G12,$A$5,"Y") &amp;" Tahun, "&amp;DATEDIF(G12,$A$5,"YM") &amp;" Bulan, "&amp;DATEDIF(G12,$A$5,"MD") &amp;" Hari"</f>
        <v>30 Tahun, 9 Bulan, 26 Hari</v>
      </c>
      <c r="V12" s="12" t="s">
        <v>259</v>
      </c>
      <c r="W12" s="21"/>
      <c r="X12" s="18"/>
    </row>
    <row r="13" spans="1:24" x14ac:dyDescent="0.35">
      <c r="C13" s="62"/>
      <c r="G13" s="16"/>
      <c r="H13" s="16"/>
      <c r="N13" s="16"/>
      <c r="W13" s="16"/>
    </row>
    <row r="14" spans="1:24" x14ac:dyDescent="0.35">
      <c r="G14" s="16"/>
      <c r="H14" s="16"/>
      <c r="N14" s="16"/>
      <c r="W14" s="16"/>
    </row>
    <row r="15" spans="1:24" x14ac:dyDescent="0.35">
      <c r="C15" s="62"/>
      <c r="G15" s="16"/>
      <c r="H15" s="16"/>
      <c r="N15" s="16"/>
    </row>
    <row r="16" spans="1:24" x14ac:dyDescent="0.35">
      <c r="G16" s="16"/>
      <c r="H16" s="16"/>
      <c r="N16" s="16"/>
    </row>
    <row r="17" spans="7:23" x14ac:dyDescent="0.35">
      <c r="G17" s="16"/>
      <c r="H17" s="16"/>
      <c r="N17" s="16"/>
    </row>
    <row r="18" spans="7:23" x14ac:dyDescent="0.35">
      <c r="G18" s="16"/>
      <c r="H18" s="16"/>
      <c r="N18" s="16"/>
      <c r="Q18" s="63"/>
    </row>
    <row r="19" spans="7:23" x14ac:dyDescent="0.35">
      <c r="G19" s="16"/>
      <c r="H19" s="16"/>
      <c r="N19" s="16"/>
      <c r="Q19" s="63"/>
      <c r="W19" s="16"/>
    </row>
  </sheetData>
  <mergeCells count="25">
    <mergeCell ref="V7:V8"/>
    <mergeCell ref="W7:W8"/>
    <mergeCell ref="X7:X8"/>
    <mergeCell ref="N7:N8"/>
    <mergeCell ref="O7:P7"/>
    <mergeCell ref="Q7:Q8"/>
    <mergeCell ref="R7:R8"/>
    <mergeCell ref="T7:T8"/>
    <mergeCell ref="U7:U8"/>
    <mergeCell ref="M7:M8"/>
    <mergeCell ref="A1:D1"/>
    <mergeCell ref="A3:B3"/>
    <mergeCell ref="A4:B4"/>
    <mergeCell ref="A5:D5"/>
    <mergeCell ref="A7:A8"/>
    <mergeCell ref="B7:B8"/>
    <mergeCell ref="C7:C8"/>
    <mergeCell ref="D7:D8"/>
    <mergeCell ref="L7:L8"/>
    <mergeCell ref="E7:E8"/>
    <mergeCell ref="F7:F8"/>
    <mergeCell ref="G7:G8"/>
    <mergeCell ref="H7:H8"/>
    <mergeCell ref="I7:J7"/>
    <mergeCell ref="K7:K8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F844-D716-D743-BECB-E53DF9B5EC7B}">
  <sheetPr>
    <tabColor theme="6" tint="0.39997558519241921"/>
  </sheetPr>
  <dimension ref="A1:Z113"/>
  <sheetViews>
    <sheetView zoomScale="120" zoomScaleNormal="120" workbookViewId="0">
      <selection activeCell="X31" sqref="X31:X38"/>
    </sheetView>
  </sheetViews>
  <sheetFormatPr defaultColWidth="10.83203125" defaultRowHeight="15.5" x14ac:dyDescent="0.35"/>
  <cols>
    <col min="1" max="1" width="5" style="12" customWidth="1"/>
    <col min="2" max="2" width="26.83203125" style="15" bestFit="1" customWidth="1"/>
    <col min="3" max="3" width="19.33203125" style="33" bestFit="1" customWidth="1"/>
    <col min="4" max="4" width="11.83203125" style="12" bestFit="1" customWidth="1"/>
    <col min="5" max="5" width="29.6640625" style="12" bestFit="1" customWidth="1"/>
    <col min="6" max="6" width="18.1640625" style="12" bestFit="1" customWidth="1"/>
    <col min="7" max="7" width="14.83203125" style="12" bestFit="1" customWidth="1"/>
    <col min="8" max="8" width="10.83203125" style="12" bestFit="1" customWidth="1"/>
    <col min="9" max="9" width="7.33203125" style="12" bestFit="1" customWidth="1"/>
    <col min="10" max="10" width="7" style="12" bestFit="1" customWidth="1"/>
    <col min="11" max="11" width="10" style="12" bestFit="1" customWidth="1"/>
    <col min="12" max="12" width="13.83203125" style="12" bestFit="1" customWidth="1"/>
    <col min="13" max="13" width="15.6640625" style="12" bestFit="1" customWidth="1"/>
    <col min="14" max="14" width="11.33203125" style="12" bestFit="1" customWidth="1"/>
    <col min="15" max="15" width="15.33203125" style="12" bestFit="1" customWidth="1"/>
    <col min="16" max="16" width="7.33203125" style="12" bestFit="1" customWidth="1"/>
    <col min="17" max="17" width="7" style="12" bestFit="1" customWidth="1"/>
    <col min="18" max="18" width="10.83203125" style="12" bestFit="1" customWidth="1"/>
    <col min="19" max="19" width="6.33203125" style="12" bestFit="1" customWidth="1"/>
    <col min="20" max="20" width="13.83203125" style="12" bestFit="1" customWidth="1"/>
    <col min="21" max="21" width="7.6640625" style="12" bestFit="1" customWidth="1"/>
    <col min="22" max="22" width="24" style="12" bestFit="1" customWidth="1"/>
    <col min="23" max="23" width="4.5" style="12" bestFit="1" customWidth="1"/>
    <col min="24" max="24" width="17.33203125" style="12" customWidth="1"/>
    <col min="25" max="25" width="13.5" style="12" bestFit="1" customWidth="1"/>
    <col min="26" max="26" width="15" style="12" bestFit="1" customWidth="1"/>
    <col min="27" max="16384" width="10.83203125" style="15"/>
  </cols>
  <sheetData>
    <row r="1" spans="1:26" ht="26" x14ac:dyDescent="0.35">
      <c r="A1" s="191" t="s">
        <v>44</v>
      </c>
      <c r="B1" s="191"/>
      <c r="C1" s="191"/>
      <c r="D1" s="191"/>
    </row>
    <row r="3" spans="1:26" ht="21" x14ac:dyDescent="0.35">
      <c r="A3" s="223" t="s">
        <v>261</v>
      </c>
      <c r="B3" s="223"/>
      <c r="C3" s="223"/>
      <c r="D3" s="15"/>
    </row>
    <row r="4" spans="1:26" x14ac:dyDescent="0.35">
      <c r="A4" s="183" t="str">
        <f>Administrasi!A4</f>
        <v>KEADAAN : APRIL 2024</v>
      </c>
      <c r="B4" s="183"/>
      <c r="C4" s="29"/>
      <c r="D4" s="13"/>
    </row>
    <row r="5" spans="1:26" x14ac:dyDescent="0.35">
      <c r="A5" s="195">
        <f ca="1">NOW()</f>
        <v>45573.481386574073</v>
      </c>
      <c r="B5" s="183"/>
      <c r="C5" s="183"/>
      <c r="D5" s="183"/>
    </row>
    <row r="6" spans="1:26" x14ac:dyDescent="0.35">
      <c r="A6" s="37"/>
      <c r="B6" s="36"/>
      <c r="C6" s="36"/>
      <c r="D6" s="36"/>
    </row>
    <row r="7" spans="1:26" x14ac:dyDescent="0.35">
      <c r="A7" s="46" t="s">
        <v>262</v>
      </c>
      <c r="B7" s="36"/>
      <c r="C7" s="36"/>
      <c r="D7" s="36"/>
    </row>
    <row r="8" spans="1:26" x14ac:dyDescent="0.35">
      <c r="A8" s="36" t="s">
        <v>338</v>
      </c>
    </row>
    <row r="9" spans="1:26" s="13" customFormat="1" ht="17" customHeight="1" x14ac:dyDescent="0.35">
      <c r="A9" s="233" t="s">
        <v>13</v>
      </c>
      <c r="B9" s="236" t="s">
        <v>14</v>
      </c>
      <c r="C9" s="245" t="s">
        <v>19</v>
      </c>
      <c r="D9" s="247" t="s">
        <v>15</v>
      </c>
      <c r="E9" s="233" t="s">
        <v>18</v>
      </c>
      <c r="F9" s="237" t="s">
        <v>16</v>
      </c>
      <c r="G9" s="233" t="s">
        <v>17</v>
      </c>
      <c r="H9" s="232" t="s">
        <v>36</v>
      </c>
      <c r="I9" s="249" t="s">
        <v>30</v>
      </c>
      <c r="J9" s="250"/>
      <c r="K9" s="224" t="s">
        <v>1215</v>
      </c>
      <c r="L9" s="224" t="s">
        <v>1206</v>
      </c>
      <c r="M9" s="230" t="s">
        <v>268</v>
      </c>
      <c r="N9" s="233" t="s">
        <v>20</v>
      </c>
      <c r="O9" s="232" t="s">
        <v>21</v>
      </c>
      <c r="P9" s="251" t="s">
        <v>29</v>
      </c>
      <c r="Q9" s="252"/>
      <c r="R9" s="233" t="s">
        <v>22</v>
      </c>
      <c r="S9" s="237" t="s">
        <v>23</v>
      </c>
      <c r="T9" s="51" t="s">
        <v>31</v>
      </c>
      <c r="U9" s="253" t="s">
        <v>25</v>
      </c>
      <c r="V9" s="233" t="s">
        <v>26</v>
      </c>
      <c r="W9" s="254" t="s">
        <v>258</v>
      </c>
      <c r="X9" s="255"/>
      <c r="Y9" s="241" t="s">
        <v>42</v>
      </c>
      <c r="Z9" s="233" t="s">
        <v>28</v>
      </c>
    </row>
    <row r="10" spans="1:26" s="13" customFormat="1" x14ac:dyDescent="0.35">
      <c r="A10" s="233"/>
      <c r="B10" s="236"/>
      <c r="C10" s="246"/>
      <c r="D10" s="248"/>
      <c r="E10" s="233"/>
      <c r="F10" s="237"/>
      <c r="G10" s="233"/>
      <c r="H10" s="232"/>
      <c r="I10" s="51" t="s">
        <v>3</v>
      </c>
      <c r="J10" s="52" t="s">
        <v>4</v>
      </c>
      <c r="K10" s="225"/>
      <c r="L10" s="225"/>
      <c r="M10" s="231"/>
      <c r="N10" s="233"/>
      <c r="O10" s="237"/>
      <c r="P10" s="51" t="s">
        <v>3</v>
      </c>
      <c r="Q10" s="53" t="s">
        <v>4</v>
      </c>
      <c r="R10" s="233"/>
      <c r="S10" s="237"/>
      <c r="T10" s="51" t="s">
        <v>24</v>
      </c>
      <c r="U10" s="253"/>
      <c r="V10" s="233"/>
      <c r="W10" s="256"/>
      <c r="X10" s="257"/>
      <c r="Y10" s="242"/>
      <c r="Z10" s="233"/>
    </row>
    <row r="11" spans="1:26" s="61" customFormat="1" ht="13.5" thickBot="1" x14ac:dyDescent="0.4">
      <c r="A11" s="54">
        <v>1</v>
      </c>
      <c r="B11" s="55">
        <v>2</v>
      </c>
      <c r="C11" s="56">
        <v>3</v>
      </c>
      <c r="D11" s="57">
        <v>4</v>
      </c>
      <c r="E11" s="54">
        <v>5</v>
      </c>
      <c r="F11" s="57">
        <v>6</v>
      </c>
      <c r="G11" s="54">
        <v>7</v>
      </c>
      <c r="H11" s="58">
        <v>8</v>
      </c>
      <c r="I11" s="54">
        <v>9</v>
      </c>
      <c r="J11" s="54">
        <v>10</v>
      </c>
      <c r="K11" s="54"/>
      <c r="L11" s="54"/>
      <c r="M11" s="54">
        <v>11</v>
      </c>
      <c r="N11" s="55">
        <v>12</v>
      </c>
      <c r="O11" s="54">
        <v>13</v>
      </c>
      <c r="P11" s="55">
        <v>14</v>
      </c>
      <c r="Q11" s="54">
        <v>15</v>
      </c>
      <c r="R11" s="55">
        <v>16</v>
      </c>
      <c r="S11" s="54">
        <v>17</v>
      </c>
      <c r="T11" s="55">
        <v>18</v>
      </c>
      <c r="U11" s="54">
        <v>19</v>
      </c>
      <c r="V11" s="55">
        <v>20</v>
      </c>
      <c r="W11" s="243">
        <v>21</v>
      </c>
      <c r="X11" s="244"/>
      <c r="Y11" s="55">
        <v>22</v>
      </c>
      <c r="Z11" s="54">
        <v>23</v>
      </c>
    </row>
    <row r="12" spans="1:26" ht="16" thickTop="1" x14ac:dyDescent="0.35">
      <c r="A12" s="18">
        <v>1</v>
      </c>
      <c r="B12" s="15" t="s">
        <v>339</v>
      </c>
      <c r="C12" s="34" t="s">
        <v>341</v>
      </c>
      <c r="D12" s="12" t="s">
        <v>126</v>
      </c>
      <c r="E12" s="18" t="s">
        <v>359</v>
      </c>
      <c r="F12" s="12" t="s">
        <v>363</v>
      </c>
      <c r="G12" s="21">
        <v>24400</v>
      </c>
      <c r="H12" s="16">
        <v>33664</v>
      </c>
      <c r="I12" s="18">
        <f ca="1">DATEDIF(H12,$A$5,"Y")</f>
        <v>32</v>
      </c>
      <c r="J12" s="50">
        <f ca="1">DATEDIF(H12,$A$5,"YM")</f>
        <v>7</v>
      </c>
      <c r="K12" s="50" t="s">
        <v>1132</v>
      </c>
      <c r="L12" s="50"/>
      <c r="M12" s="49"/>
      <c r="N12" s="18" t="s">
        <v>177</v>
      </c>
      <c r="O12" s="16">
        <v>42826</v>
      </c>
      <c r="P12" s="18">
        <v>21</v>
      </c>
      <c r="Q12" s="12">
        <v>6</v>
      </c>
      <c r="R12" s="18" t="s">
        <v>371</v>
      </c>
      <c r="T12" s="18" t="s">
        <v>39</v>
      </c>
      <c r="V12" s="18" t="str">
        <f ca="1">DATEDIF(G12,$A$5,"Y") &amp;" Tahun, "&amp;DATEDIF(G12,$A$5,"YM") &amp;" Bulan, "&amp;DATEDIF(G12,$A$5,"MD") &amp;" Hari"</f>
        <v>57 Tahun, 11 Bulan, 18 Hari</v>
      </c>
      <c r="W12" s="60" t="s">
        <v>333</v>
      </c>
      <c r="X12" s="48" t="s">
        <v>334</v>
      </c>
      <c r="Y12" s="21">
        <v>42583</v>
      </c>
      <c r="Z12" s="18"/>
    </row>
    <row r="13" spans="1:26" x14ac:dyDescent="0.35">
      <c r="A13" s="18">
        <v>2</v>
      </c>
      <c r="B13" s="15" t="s">
        <v>344</v>
      </c>
      <c r="C13" s="31" t="s">
        <v>342</v>
      </c>
      <c r="D13" s="12" t="s">
        <v>126</v>
      </c>
      <c r="E13" s="18" t="s">
        <v>359</v>
      </c>
      <c r="F13" s="12" t="s">
        <v>364</v>
      </c>
      <c r="G13" s="21">
        <v>24389</v>
      </c>
      <c r="H13" s="16">
        <v>33298</v>
      </c>
      <c r="I13" s="18">
        <f t="shared" ref="I13:I21" ca="1" si="0">DATEDIF(H13,$A$5,"Y")</f>
        <v>33</v>
      </c>
      <c r="J13" s="50">
        <f t="shared" ref="J13:J21" ca="1" si="1">DATEDIF(H13,$A$5,"YM")</f>
        <v>7</v>
      </c>
      <c r="K13" s="50" t="s">
        <v>910</v>
      </c>
      <c r="L13" s="50"/>
      <c r="M13" s="50"/>
      <c r="N13" s="18" t="s">
        <v>178</v>
      </c>
      <c r="O13" s="16">
        <v>43191</v>
      </c>
      <c r="P13" s="18">
        <v>22</v>
      </c>
      <c r="Q13" s="12">
        <v>2</v>
      </c>
      <c r="R13" s="18" t="s">
        <v>372</v>
      </c>
      <c r="T13" s="18" t="s">
        <v>39</v>
      </c>
      <c r="V13" s="18" t="str">
        <f t="shared" ref="V13:V21" ca="1" si="2">DATEDIF(G13,$A$5,"Y") &amp;" Tahun, "&amp;DATEDIF(G13,$A$5,"YM") &amp;" Bulan, "&amp;DATEDIF(G13,$A$5,"MD") &amp;" Hari"</f>
        <v>57 Tahun, 11 Bulan, 29 Hari</v>
      </c>
      <c r="W13" s="60" t="s">
        <v>333</v>
      </c>
      <c r="X13" s="48" t="s">
        <v>335</v>
      </c>
      <c r="Y13" s="21">
        <v>42887</v>
      </c>
      <c r="Z13" s="18"/>
    </row>
    <row r="14" spans="1:26" x14ac:dyDescent="0.35">
      <c r="A14" s="18">
        <v>3</v>
      </c>
      <c r="B14" s="15" t="s">
        <v>345</v>
      </c>
      <c r="C14" s="31" t="s">
        <v>343</v>
      </c>
      <c r="D14" s="12" t="s">
        <v>133</v>
      </c>
      <c r="E14" s="18" t="s">
        <v>314</v>
      </c>
      <c r="F14" s="12" t="s">
        <v>365</v>
      </c>
      <c r="G14" s="21">
        <v>24752</v>
      </c>
      <c r="H14" s="16">
        <v>32905</v>
      </c>
      <c r="I14" s="18">
        <f t="shared" ca="1" si="0"/>
        <v>34</v>
      </c>
      <c r="J14" s="50">
        <f t="shared" ca="1" si="1"/>
        <v>8</v>
      </c>
      <c r="K14" s="50" t="s">
        <v>910</v>
      </c>
      <c r="L14" s="50"/>
      <c r="M14" s="50"/>
      <c r="N14" s="18" t="s">
        <v>178</v>
      </c>
      <c r="O14" s="16">
        <v>43374</v>
      </c>
      <c r="P14" s="18">
        <v>23</v>
      </c>
      <c r="Q14" s="12">
        <v>8</v>
      </c>
      <c r="R14" s="18" t="s">
        <v>373</v>
      </c>
      <c r="T14" s="18" t="s">
        <v>39</v>
      </c>
      <c r="V14" s="18" t="str">
        <f t="shared" ca="1" si="2"/>
        <v>57 Tahun, 0 Bulan, 1 Hari</v>
      </c>
      <c r="W14" s="60" t="s">
        <v>333</v>
      </c>
      <c r="X14" s="48" t="s">
        <v>336</v>
      </c>
      <c r="Y14" s="21">
        <v>43101</v>
      </c>
      <c r="Z14" s="18"/>
    </row>
    <row r="15" spans="1:26" x14ac:dyDescent="0.35">
      <c r="A15" s="18">
        <v>4</v>
      </c>
      <c r="B15" s="15" t="s">
        <v>346</v>
      </c>
      <c r="C15" s="31" t="s">
        <v>1204</v>
      </c>
      <c r="D15" s="12" t="s">
        <v>133</v>
      </c>
      <c r="E15" s="18" t="s">
        <v>314</v>
      </c>
      <c r="F15" s="12" t="s">
        <v>35</v>
      </c>
      <c r="G15" s="21">
        <v>25860</v>
      </c>
      <c r="H15" s="16">
        <v>32905</v>
      </c>
      <c r="I15" s="18">
        <f t="shared" ca="1" si="0"/>
        <v>34</v>
      </c>
      <c r="J15" s="50">
        <f t="shared" ca="1" si="1"/>
        <v>8</v>
      </c>
      <c r="K15" s="50" t="s">
        <v>910</v>
      </c>
      <c r="L15" s="50"/>
      <c r="M15" s="50"/>
      <c r="N15" s="18" t="s">
        <v>178</v>
      </c>
      <c r="O15" s="16">
        <v>43009</v>
      </c>
      <c r="P15" s="18">
        <v>22</v>
      </c>
      <c r="Q15" s="12">
        <v>8</v>
      </c>
      <c r="R15" s="18" t="s">
        <v>374</v>
      </c>
      <c r="T15" s="18" t="s">
        <v>220</v>
      </c>
      <c r="V15" s="18" t="str">
        <f t="shared" ca="1" si="2"/>
        <v>53 Tahun, 11 Bulan, 19 Hari</v>
      </c>
      <c r="W15" s="60" t="s">
        <v>333</v>
      </c>
      <c r="X15" s="48" t="s">
        <v>336</v>
      </c>
      <c r="Y15" s="21">
        <v>42736</v>
      </c>
      <c r="Z15" s="18"/>
    </row>
    <row r="16" spans="1:26" x14ac:dyDescent="0.35">
      <c r="A16" s="18">
        <v>5</v>
      </c>
      <c r="B16" s="15" t="s">
        <v>758</v>
      </c>
      <c r="C16" s="31" t="s">
        <v>351</v>
      </c>
      <c r="D16" s="12" t="s">
        <v>133</v>
      </c>
      <c r="E16" s="18" t="s">
        <v>314</v>
      </c>
      <c r="F16" s="12" t="s">
        <v>366</v>
      </c>
      <c r="G16" s="21">
        <v>24773</v>
      </c>
      <c r="H16" s="16">
        <v>32540</v>
      </c>
      <c r="I16" s="18">
        <f t="shared" ca="1" si="0"/>
        <v>35</v>
      </c>
      <c r="J16" s="50">
        <f t="shared" ca="1" si="1"/>
        <v>8</v>
      </c>
      <c r="K16" s="50" t="s">
        <v>910</v>
      </c>
      <c r="L16" s="50"/>
      <c r="M16" s="50"/>
      <c r="N16" s="18" t="s">
        <v>178</v>
      </c>
      <c r="O16" s="16">
        <v>43739</v>
      </c>
      <c r="P16" s="18">
        <v>25</v>
      </c>
      <c r="Q16" s="12">
        <v>8</v>
      </c>
      <c r="R16" s="18" t="s">
        <v>375</v>
      </c>
      <c r="T16" s="18" t="s">
        <v>220</v>
      </c>
      <c r="V16" s="18" t="str">
        <f t="shared" ca="1" si="2"/>
        <v>56 Tahun, 11 Bulan, 10 Hari</v>
      </c>
      <c r="W16" s="60" t="s">
        <v>333</v>
      </c>
      <c r="X16" s="48" t="s">
        <v>336</v>
      </c>
      <c r="Y16" s="21">
        <v>42583</v>
      </c>
      <c r="Z16" s="18"/>
    </row>
    <row r="17" spans="1:26" x14ac:dyDescent="0.35">
      <c r="A17" s="18">
        <v>6</v>
      </c>
      <c r="B17" s="15" t="s">
        <v>347</v>
      </c>
      <c r="C17" s="32" t="s">
        <v>352</v>
      </c>
      <c r="D17" s="12" t="s">
        <v>133</v>
      </c>
      <c r="E17" s="18" t="s">
        <v>314</v>
      </c>
      <c r="F17" s="12" t="s">
        <v>367</v>
      </c>
      <c r="G17" s="21">
        <v>26937</v>
      </c>
      <c r="H17" s="16">
        <v>34029</v>
      </c>
      <c r="I17" s="18">
        <f t="shared" ca="1" si="0"/>
        <v>31</v>
      </c>
      <c r="J17" s="50">
        <f t="shared" ca="1" si="1"/>
        <v>7</v>
      </c>
      <c r="K17" s="50" t="s">
        <v>910</v>
      </c>
      <c r="L17" s="50"/>
      <c r="M17" s="50" t="s">
        <v>1211</v>
      </c>
      <c r="N17" s="18" t="s">
        <v>178</v>
      </c>
      <c r="O17" s="16">
        <v>43739</v>
      </c>
      <c r="P17" s="18">
        <v>20</v>
      </c>
      <c r="Q17" s="12">
        <v>6</v>
      </c>
      <c r="R17" s="18" t="s">
        <v>376</v>
      </c>
      <c r="T17" s="18" t="s">
        <v>220</v>
      </c>
      <c r="V17" s="18" t="str">
        <f t="shared" ca="1" si="2"/>
        <v>51 Tahun, 0 Bulan, 8 Hari</v>
      </c>
      <c r="W17" s="60" t="s">
        <v>333</v>
      </c>
      <c r="X17" s="48" t="s">
        <v>336</v>
      </c>
      <c r="Y17" s="21">
        <v>43466</v>
      </c>
      <c r="Z17" s="18"/>
    </row>
    <row r="18" spans="1:26" x14ac:dyDescent="0.35">
      <c r="A18" s="18">
        <v>7</v>
      </c>
      <c r="B18" s="15" t="s">
        <v>348</v>
      </c>
      <c r="C18" s="31" t="s">
        <v>353</v>
      </c>
      <c r="D18" s="12" t="s">
        <v>133</v>
      </c>
      <c r="E18" s="18" t="s">
        <v>314</v>
      </c>
      <c r="F18" s="12" t="s">
        <v>35</v>
      </c>
      <c r="G18" s="21">
        <v>25687</v>
      </c>
      <c r="H18" s="16">
        <v>33298</v>
      </c>
      <c r="I18" s="18">
        <f t="shared" ca="1" si="0"/>
        <v>33</v>
      </c>
      <c r="J18" s="50">
        <f t="shared" ca="1" si="1"/>
        <v>7</v>
      </c>
      <c r="K18" s="50" t="s">
        <v>910</v>
      </c>
      <c r="L18" s="50"/>
      <c r="M18" s="50"/>
      <c r="N18" s="18" t="s">
        <v>178</v>
      </c>
      <c r="O18" s="16">
        <v>44470</v>
      </c>
      <c r="P18" s="18">
        <v>25</v>
      </c>
      <c r="Q18" s="12">
        <v>7</v>
      </c>
      <c r="R18" s="18" t="s">
        <v>377</v>
      </c>
      <c r="T18" s="18" t="s">
        <v>39</v>
      </c>
      <c r="V18" s="18" t="str">
        <f t="shared" ca="1" si="2"/>
        <v>54 Tahun, 5 Bulan, 9 Hari</v>
      </c>
      <c r="W18" s="60" t="s">
        <v>333</v>
      </c>
      <c r="X18" s="48" t="s">
        <v>336</v>
      </c>
      <c r="Y18" s="21">
        <v>44379</v>
      </c>
      <c r="Z18" s="18"/>
    </row>
    <row r="19" spans="1:26" x14ac:dyDescent="0.35">
      <c r="A19" s="18">
        <v>8</v>
      </c>
      <c r="B19" s="15" t="s">
        <v>349</v>
      </c>
      <c r="C19" s="31" t="s">
        <v>354</v>
      </c>
      <c r="D19" s="12" t="s">
        <v>126</v>
      </c>
      <c r="E19" s="18" t="s">
        <v>314</v>
      </c>
      <c r="F19" s="12" t="s">
        <v>171</v>
      </c>
      <c r="G19" s="21">
        <v>26389</v>
      </c>
      <c r="H19" s="16">
        <v>36220</v>
      </c>
      <c r="I19" s="18">
        <f t="shared" ca="1" si="0"/>
        <v>25</v>
      </c>
      <c r="J19" s="50">
        <f t="shared" ca="1" si="1"/>
        <v>7</v>
      </c>
      <c r="K19" s="50" t="s">
        <v>910</v>
      </c>
      <c r="L19" s="50"/>
      <c r="M19" s="50"/>
      <c r="N19" s="18" t="s">
        <v>179</v>
      </c>
      <c r="O19" s="16">
        <v>42826</v>
      </c>
      <c r="P19" s="18">
        <v>16</v>
      </c>
      <c r="Q19" s="12">
        <v>1</v>
      </c>
      <c r="R19" s="18" t="s">
        <v>378</v>
      </c>
      <c r="T19" s="18" t="s">
        <v>39</v>
      </c>
      <c r="V19" s="18" t="str">
        <f t="shared" ca="1" si="2"/>
        <v>52 Tahun, 6 Bulan, 7 Hari</v>
      </c>
      <c r="W19" s="60" t="s">
        <v>333</v>
      </c>
      <c r="X19" s="48" t="s">
        <v>335</v>
      </c>
      <c r="Y19" s="21">
        <v>42583</v>
      </c>
      <c r="Z19" s="18"/>
    </row>
    <row r="20" spans="1:26" x14ac:dyDescent="0.35">
      <c r="A20" s="18">
        <v>9</v>
      </c>
      <c r="B20" s="15" t="s">
        <v>340</v>
      </c>
      <c r="C20" s="31" t="s">
        <v>355</v>
      </c>
      <c r="D20" s="12" t="s">
        <v>358</v>
      </c>
      <c r="E20" s="18" t="s">
        <v>360</v>
      </c>
      <c r="F20" s="12" t="s">
        <v>368</v>
      </c>
      <c r="G20" s="21">
        <v>25873</v>
      </c>
      <c r="H20" s="16">
        <v>33298</v>
      </c>
      <c r="I20" s="18">
        <f t="shared" ca="1" si="0"/>
        <v>33</v>
      </c>
      <c r="J20" s="50">
        <f t="shared" ca="1" si="1"/>
        <v>7</v>
      </c>
      <c r="K20" s="50" t="s">
        <v>910</v>
      </c>
      <c r="L20" s="50"/>
      <c r="M20" s="50"/>
      <c r="N20" s="18" t="s">
        <v>178</v>
      </c>
      <c r="O20" s="16">
        <v>45200</v>
      </c>
      <c r="P20" s="18">
        <v>27</v>
      </c>
      <c r="Q20" s="12">
        <v>7</v>
      </c>
      <c r="R20" s="18" t="s">
        <v>379</v>
      </c>
      <c r="T20" s="18" t="s">
        <v>39</v>
      </c>
      <c r="V20" s="18" t="str">
        <f t="shared" ca="1" si="2"/>
        <v>53 Tahun, 11 Bulan, 7 Hari</v>
      </c>
      <c r="W20" s="60" t="s">
        <v>333</v>
      </c>
      <c r="X20" s="48" t="s">
        <v>336</v>
      </c>
      <c r="Y20" s="21">
        <v>42583</v>
      </c>
      <c r="Z20" s="18"/>
    </row>
    <row r="21" spans="1:26" x14ac:dyDescent="0.35">
      <c r="A21" s="18">
        <v>10</v>
      </c>
      <c r="B21" s="15" t="s">
        <v>759</v>
      </c>
      <c r="C21" s="31" t="s">
        <v>356</v>
      </c>
      <c r="D21" s="12" t="s">
        <v>126</v>
      </c>
      <c r="E21" s="18" t="s">
        <v>361</v>
      </c>
      <c r="F21" s="12" t="s">
        <v>369</v>
      </c>
      <c r="G21" s="21">
        <v>27994</v>
      </c>
      <c r="H21" s="16">
        <v>41821</v>
      </c>
      <c r="I21" s="18">
        <f t="shared" ca="1" si="0"/>
        <v>10</v>
      </c>
      <c r="J21" s="50">
        <f t="shared" ca="1" si="1"/>
        <v>3</v>
      </c>
      <c r="K21" s="50" t="s">
        <v>910</v>
      </c>
      <c r="L21" s="50"/>
      <c r="M21" s="50"/>
      <c r="N21" s="18" t="s">
        <v>180</v>
      </c>
      <c r="O21" s="16">
        <v>43009</v>
      </c>
      <c r="P21" s="18">
        <v>12</v>
      </c>
      <c r="Q21" s="12">
        <v>19</v>
      </c>
      <c r="R21" s="18" t="s">
        <v>380</v>
      </c>
      <c r="T21" s="18" t="s">
        <v>220</v>
      </c>
      <c r="V21" s="18" t="str">
        <f t="shared" ca="1" si="2"/>
        <v>48 Tahun, 1 Bulan, 16 Hari</v>
      </c>
      <c r="W21" s="60" t="s">
        <v>333</v>
      </c>
      <c r="X21" s="48" t="s">
        <v>337</v>
      </c>
      <c r="Y21" s="21">
        <v>42583</v>
      </c>
      <c r="Z21" s="18"/>
    </row>
    <row r="22" spans="1:26" x14ac:dyDescent="0.35">
      <c r="A22" s="18">
        <v>11</v>
      </c>
      <c r="B22" s="15" t="s">
        <v>350</v>
      </c>
      <c r="C22" s="31" t="s">
        <v>357</v>
      </c>
      <c r="D22" s="12" t="s">
        <v>126</v>
      </c>
      <c r="E22" s="18" t="s">
        <v>362</v>
      </c>
      <c r="F22" s="12" t="s">
        <v>370</v>
      </c>
      <c r="G22" s="21">
        <v>31231</v>
      </c>
      <c r="H22" s="16">
        <v>43525</v>
      </c>
      <c r="I22" s="18">
        <f ca="1">DATEDIF(H22,$A$5,"Y")</f>
        <v>5</v>
      </c>
      <c r="J22" s="50">
        <f ca="1">DATEDIF(H22,$A$5,"YM")</f>
        <v>7</v>
      </c>
      <c r="K22" s="50" t="s">
        <v>910</v>
      </c>
      <c r="L22" s="50"/>
      <c r="M22" s="50"/>
      <c r="N22" s="18" t="s">
        <v>181</v>
      </c>
      <c r="O22" s="16">
        <v>44197</v>
      </c>
      <c r="P22" s="18">
        <v>1</v>
      </c>
      <c r="Q22" s="12">
        <v>10</v>
      </c>
      <c r="R22" s="18" t="s">
        <v>381</v>
      </c>
      <c r="T22" s="18" t="s">
        <v>220</v>
      </c>
      <c r="V22" s="18" t="str">
        <f ca="1">DATEDIF(G22,$A$5,"Y") &amp;" Tahun, "&amp;DATEDIF(G22,$A$5,"YM") &amp;" Bulan, "&amp;DATEDIF(G22,$A$5,"MD") &amp;" Hari"</f>
        <v>39 Tahun, 3 Bulan, 5 Hari</v>
      </c>
      <c r="W22" s="60" t="s">
        <v>333</v>
      </c>
      <c r="X22" s="48" t="s">
        <v>337</v>
      </c>
      <c r="Y22" s="21">
        <v>44794</v>
      </c>
      <c r="Z22" s="18"/>
    </row>
    <row r="23" spans="1:26" x14ac:dyDescent="0.35">
      <c r="A23" s="37"/>
      <c r="B23" s="36"/>
      <c r="C23" s="36"/>
      <c r="D23" s="36"/>
    </row>
    <row r="24" spans="1:26" x14ac:dyDescent="0.35">
      <c r="A24" s="37"/>
      <c r="B24" s="36"/>
      <c r="C24" s="36"/>
      <c r="D24" s="36"/>
    </row>
    <row r="25" spans="1:26" x14ac:dyDescent="0.35">
      <c r="A25" s="37"/>
      <c r="B25" s="36"/>
      <c r="C25" s="36"/>
      <c r="D25" s="36"/>
    </row>
    <row r="26" spans="1:26" x14ac:dyDescent="0.35">
      <c r="A26" s="75" t="str">
        <f>A7</f>
        <v>JURUSAN : LINGKUNGAN DAN KEHUTANAN</v>
      </c>
      <c r="B26" s="36"/>
      <c r="C26" s="36"/>
      <c r="D26" s="36"/>
    </row>
    <row r="27" spans="1:26" x14ac:dyDescent="0.35">
      <c r="A27" s="36" t="s">
        <v>263</v>
      </c>
    </row>
    <row r="28" spans="1:26" s="13" customFormat="1" ht="17" customHeight="1" x14ac:dyDescent="0.35">
      <c r="A28" s="233" t="s">
        <v>13</v>
      </c>
      <c r="B28" s="236" t="s">
        <v>14</v>
      </c>
      <c r="C28" s="245" t="s">
        <v>19</v>
      </c>
      <c r="D28" s="247" t="s">
        <v>15</v>
      </c>
      <c r="E28" s="233" t="s">
        <v>18</v>
      </c>
      <c r="F28" s="237" t="s">
        <v>16</v>
      </c>
      <c r="G28" s="233" t="s">
        <v>17</v>
      </c>
      <c r="H28" s="232" t="s">
        <v>36</v>
      </c>
      <c r="I28" s="249" t="s">
        <v>30</v>
      </c>
      <c r="J28" s="250"/>
      <c r="K28" s="224" t="s">
        <v>1215</v>
      </c>
      <c r="L28" s="224" t="s">
        <v>1206</v>
      </c>
      <c r="M28" s="230" t="s">
        <v>268</v>
      </c>
      <c r="N28" s="233" t="s">
        <v>20</v>
      </c>
      <c r="O28" s="232" t="s">
        <v>21</v>
      </c>
      <c r="P28" s="251" t="s">
        <v>29</v>
      </c>
      <c r="Q28" s="252"/>
      <c r="R28" s="233" t="s">
        <v>22</v>
      </c>
      <c r="S28" s="237" t="s">
        <v>23</v>
      </c>
      <c r="T28" s="51" t="s">
        <v>31</v>
      </c>
      <c r="U28" s="253" t="s">
        <v>25</v>
      </c>
      <c r="V28" s="233" t="s">
        <v>26</v>
      </c>
      <c r="W28" s="254" t="s">
        <v>258</v>
      </c>
      <c r="X28" s="255"/>
      <c r="Y28" s="241" t="s">
        <v>42</v>
      </c>
      <c r="Z28" s="233" t="s">
        <v>28</v>
      </c>
    </row>
    <row r="29" spans="1:26" s="13" customFormat="1" x14ac:dyDescent="0.35">
      <c r="A29" s="233"/>
      <c r="B29" s="236"/>
      <c r="C29" s="246"/>
      <c r="D29" s="248"/>
      <c r="E29" s="233"/>
      <c r="F29" s="237"/>
      <c r="G29" s="233"/>
      <c r="H29" s="232"/>
      <c r="I29" s="51" t="s">
        <v>3</v>
      </c>
      <c r="J29" s="52" t="s">
        <v>4</v>
      </c>
      <c r="K29" s="225"/>
      <c r="L29" s="225"/>
      <c r="M29" s="231"/>
      <c r="N29" s="233"/>
      <c r="O29" s="237"/>
      <c r="P29" s="51" t="s">
        <v>3</v>
      </c>
      <c r="Q29" s="53" t="s">
        <v>4</v>
      </c>
      <c r="R29" s="233"/>
      <c r="S29" s="237"/>
      <c r="T29" s="51" t="s">
        <v>24</v>
      </c>
      <c r="U29" s="253"/>
      <c r="V29" s="233"/>
      <c r="W29" s="256"/>
      <c r="X29" s="257"/>
      <c r="Y29" s="242"/>
      <c r="Z29" s="233"/>
    </row>
    <row r="30" spans="1:26" s="61" customFormat="1" ht="13.5" thickBot="1" x14ac:dyDescent="0.4">
      <c r="A30" s="102">
        <v>1</v>
      </c>
      <c r="B30" s="55">
        <v>2</v>
      </c>
      <c r="C30" s="56">
        <v>3</v>
      </c>
      <c r="D30" s="57">
        <v>4</v>
      </c>
      <c r="E30" s="54">
        <v>5</v>
      </c>
      <c r="F30" s="57">
        <v>6</v>
      </c>
      <c r="G30" s="54">
        <v>7</v>
      </c>
      <c r="H30" s="58">
        <v>8</v>
      </c>
      <c r="I30" s="54">
        <v>9</v>
      </c>
      <c r="J30" s="54">
        <v>10</v>
      </c>
      <c r="K30" s="54"/>
      <c r="L30" s="54"/>
      <c r="M30" s="54">
        <v>11</v>
      </c>
      <c r="N30" s="55">
        <v>12</v>
      </c>
      <c r="O30" s="54">
        <v>13</v>
      </c>
      <c r="P30" s="55">
        <v>14</v>
      </c>
      <c r="Q30" s="54">
        <v>15</v>
      </c>
      <c r="R30" s="55">
        <v>16</v>
      </c>
      <c r="S30" s="54">
        <v>17</v>
      </c>
      <c r="T30" s="55">
        <v>18</v>
      </c>
      <c r="U30" s="54">
        <v>19</v>
      </c>
      <c r="V30" s="55">
        <v>20</v>
      </c>
      <c r="W30" s="243">
        <v>21</v>
      </c>
      <c r="X30" s="244"/>
      <c r="Y30" s="55">
        <v>22</v>
      </c>
      <c r="Z30" s="54">
        <v>23</v>
      </c>
    </row>
    <row r="31" spans="1:26" ht="16" thickTop="1" x14ac:dyDescent="0.35">
      <c r="A31" s="18">
        <v>1</v>
      </c>
      <c r="B31" s="15" t="s">
        <v>264</v>
      </c>
      <c r="C31" s="34" t="s">
        <v>295</v>
      </c>
      <c r="D31" s="12" t="s">
        <v>33</v>
      </c>
      <c r="E31" s="18" t="s">
        <v>307</v>
      </c>
      <c r="F31" s="12" t="s">
        <v>151</v>
      </c>
      <c r="G31" s="21">
        <v>24005</v>
      </c>
      <c r="H31" s="16">
        <v>32540</v>
      </c>
      <c r="I31" s="27">
        <f ca="1">DATEDIF(H31,$A$5,"Y")</f>
        <v>35</v>
      </c>
      <c r="J31" s="50">
        <f ca="1">DATEDIF(H31,$A$5,"YM")</f>
        <v>8</v>
      </c>
      <c r="K31" s="50" t="s">
        <v>1132</v>
      </c>
      <c r="L31" s="50"/>
      <c r="M31" s="49" t="s">
        <v>1214</v>
      </c>
      <c r="N31" s="18" t="s">
        <v>177</v>
      </c>
      <c r="O31" s="16">
        <v>45017</v>
      </c>
      <c r="P31" s="18">
        <v>29</v>
      </c>
      <c r="Q31" s="12">
        <v>2</v>
      </c>
      <c r="R31" s="18" t="s">
        <v>323</v>
      </c>
      <c r="T31" s="18" t="s">
        <v>39</v>
      </c>
      <c r="V31" s="18" t="str">
        <f ca="1">DATEDIF(G31,$A$5,"Y") &amp;" Tahun, "&amp;DATEDIF(G31,$A$5,"YM") &amp;" Bulan, "&amp;DATEDIF(G31,$A$5,"MD") &amp;" Hari"</f>
        <v>59 Tahun, 0 Bulan, 18 Hari</v>
      </c>
      <c r="W31" s="60" t="s">
        <v>333</v>
      </c>
      <c r="X31" s="48" t="s">
        <v>334</v>
      </c>
      <c r="Y31" s="21">
        <v>44774</v>
      </c>
      <c r="Z31" s="18"/>
    </row>
    <row r="32" spans="1:26" x14ac:dyDescent="0.35">
      <c r="A32" s="18">
        <v>2</v>
      </c>
      <c r="B32" s="15" t="s">
        <v>265</v>
      </c>
      <c r="C32" s="31" t="s">
        <v>296</v>
      </c>
      <c r="D32" s="12" t="s">
        <v>126</v>
      </c>
      <c r="E32" s="18" t="s">
        <v>309</v>
      </c>
      <c r="F32" s="12" t="s">
        <v>316</v>
      </c>
      <c r="G32" s="21">
        <v>24620</v>
      </c>
      <c r="H32" s="16">
        <v>32540</v>
      </c>
      <c r="I32" s="18">
        <f t="shared" ref="I32:I42" ca="1" si="3">DATEDIF(H32,$A$5,"Y")</f>
        <v>35</v>
      </c>
      <c r="J32" s="50">
        <f t="shared" ref="J32:J40" ca="1" si="4">DATEDIF(H32,$A$5,"YM")</f>
        <v>8</v>
      </c>
      <c r="K32" s="50" t="s">
        <v>910</v>
      </c>
      <c r="L32" s="50"/>
      <c r="M32" s="50"/>
      <c r="N32" s="18" t="s">
        <v>178</v>
      </c>
      <c r="O32" s="16">
        <v>44470</v>
      </c>
      <c r="P32" s="18">
        <v>27</v>
      </c>
      <c r="Q32" s="12">
        <v>8</v>
      </c>
      <c r="R32" s="18" t="s">
        <v>324</v>
      </c>
      <c r="T32" s="18" t="s">
        <v>39</v>
      </c>
      <c r="V32" s="18" t="str">
        <f t="shared" ref="V32:V40" ca="1" si="5">DATEDIF(G32,$A$5,"Y") &amp;" Tahun, "&amp;DATEDIF(G32,$A$5,"YM") &amp;" Bulan, "&amp;DATEDIF(G32,$A$5,"MD") &amp;" Hari"</f>
        <v>57 Tahun, 4 Bulan, 10 Hari</v>
      </c>
      <c r="W32" s="60" t="s">
        <v>333</v>
      </c>
      <c r="X32" s="48" t="s">
        <v>335</v>
      </c>
      <c r="Y32" s="21">
        <v>44379</v>
      </c>
      <c r="Z32" s="18"/>
    </row>
    <row r="33" spans="1:26" x14ac:dyDescent="0.35">
      <c r="A33" s="18">
        <v>3</v>
      </c>
      <c r="B33" s="15" t="s">
        <v>266</v>
      </c>
      <c r="C33" s="31" t="s">
        <v>297</v>
      </c>
      <c r="D33" s="12" t="s">
        <v>306</v>
      </c>
      <c r="E33" s="18" t="s">
        <v>310</v>
      </c>
      <c r="F33" s="12" t="s">
        <v>317</v>
      </c>
      <c r="G33" s="21">
        <v>24423</v>
      </c>
      <c r="H33" s="16">
        <v>33298</v>
      </c>
      <c r="I33" s="18">
        <f t="shared" ca="1" si="3"/>
        <v>33</v>
      </c>
      <c r="J33" s="50">
        <f t="shared" ca="1" si="4"/>
        <v>7</v>
      </c>
      <c r="K33" s="50" t="s">
        <v>910</v>
      </c>
      <c r="L33" s="50"/>
      <c r="M33" s="50" t="s">
        <v>1214</v>
      </c>
      <c r="N33" s="18" t="s">
        <v>178</v>
      </c>
      <c r="O33" s="16">
        <v>43374</v>
      </c>
      <c r="P33" s="18">
        <v>22</v>
      </c>
      <c r="Q33" s="12">
        <v>7</v>
      </c>
      <c r="R33" s="18" t="s">
        <v>325</v>
      </c>
      <c r="T33" s="18" t="s">
        <v>39</v>
      </c>
      <c r="V33" s="18" t="str">
        <f t="shared" ca="1" si="5"/>
        <v>57 Tahun, 10 Bulan, 26 Hari</v>
      </c>
      <c r="W33" s="60" t="s">
        <v>333</v>
      </c>
      <c r="X33" s="48" t="s">
        <v>336</v>
      </c>
      <c r="Y33" s="21">
        <v>43466</v>
      </c>
      <c r="Z33" s="18"/>
    </row>
    <row r="34" spans="1:26" x14ac:dyDescent="0.35">
      <c r="A34" s="18">
        <v>4</v>
      </c>
      <c r="B34" s="15" t="s">
        <v>292</v>
      </c>
      <c r="C34" s="31" t="s">
        <v>298</v>
      </c>
      <c r="D34" s="12" t="s">
        <v>133</v>
      </c>
      <c r="E34" s="18" t="s">
        <v>311</v>
      </c>
      <c r="F34" s="12" t="s">
        <v>318</v>
      </c>
      <c r="G34" s="21">
        <v>25745</v>
      </c>
      <c r="H34" s="16">
        <v>33664</v>
      </c>
      <c r="I34" s="18">
        <f t="shared" ca="1" si="3"/>
        <v>32</v>
      </c>
      <c r="J34" s="50">
        <f t="shared" ca="1" si="4"/>
        <v>7</v>
      </c>
      <c r="K34" s="50" t="s">
        <v>910</v>
      </c>
      <c r="L34" s="50"/>
      <c r="M34" s="50" t="s">
        <v>1211</v>
      </c>
      <c r="N34" s="18" t="s">
        <v>178</v>
      </c>
      <c r="O34" s="16">
        <v>43191</v>
      </c>
      <c r="P34" s="18">
        <v>21</v>
      </c>
      <c r="Q34" s="12">
        <v>1</v>
      </c>
      <c r="R34" s="18" t="s">
        <v>326</v>
      </c>
      <c r="T34" s="18" t="s">
        <v>39</v>
      </c>
      <c r="V34" s="18" t="str">
        <f t="shared" ca="1" si="5"/>
        <v>54 Tahun, 3 Bulan, 12 Hari</v>
      </c>
      <c r="W34" s="60" t="s">
        <v>333</v>
      </c>
      <c r="X34" s="48" t="s">
        <v>336</v>
      </c>
      <c r="Y34" s="21">
        <v>43101</v>
      </c>
      <c r="Z34" s="18"/>
    </row>
    <row r="35" spans="1:26" x14ac:dyDescent="0.35">
      <c r="A35" s="18">
        <v>5</v>
      </c>
      <c r="B35" s="15" t="s">
        <v>267</v>
      </c>
      <c r="C35" s="32" t="s">
        <v>299</v>
      </c>
      <c r="D35" s="12" t="s">
        <v>126</v>
      </c>
      <c r="E35" s="18" t="s">
        <v>131</v>
      </c>
      <c r="F35" s="12" t="s">
        <v>35</v>
      </c>
      <c r="G35" s="21">
        <v>24536</v>
      </c>
      <c r="H35" s="16">
        <v>32540</v>
      </c>
      <c r="I35" s="18">
        <f t="shared" ca="1" si="3"/>
        <v>35</v>
      </c>
      <c r="J35" s="50">
        <f t="shared" ca="1" si="4"/>
        <v>8</v>
      </c>
      <c r="K35" s="50" t="s">
        <v>910</v>
      </c>
      <c r="L35" s="50"/>
      <c r="M35" s="50"/>
      <c r="N35" s="18" t="s">
        <v>178</v>
      </c>
      <c r="O35" s="16">
        <v>43556</v>
      </c>
      <c r="P35" s="18">
        <v>25</v>
      </c>
      <c r="Q35" s="12">
        <v>2</v>
      </c>
      <c r="R35" s="18" t="s">
        <v>327</v>
      </c>
      <c r="T35" s="18" t="s">
        <v>220</v>
      </c>
      <c r="V35" s="18" t="str">
        <f t="shared" ca="1" si="5"/>
        <v>57 Tahun, 7 Bulan, 3 Hari</v>
      </c>
      <c r="W35" s="60" t="s">
        <v>333</v>
      </c>
      <c r="X35" s="48" t="s">
        <v>335</v>
      </c>
      <c r="Y35" s="21">
        <v>42887</v>
      </c>
      <c r="Z35" s="18"/>
    </row>
    <row r="36" spans="1:26" x14ac:dyDescent="0.35">
      <c r="A36" s="18">
        <v>6</v>
      </c>
      <c r="B36" s="15" t="s">
        <v>293</v>
      </c>
      <c r="C36" s="31" t="s">
        <v>300</v>
      </c>
      <c r="D36" s="12" t="s">
        <v>133</v>
      </c>
      <c r="E36" s="18" t="s">
        <v>311</v>
      </c>
      <c r="F36" s="12" t="s">
        <v>35</v>
      </c>
      <c r="G36" s="21">
        <v>27741</v>
      </c>
      <c r="H36" s="16">
        <v>35034</v>
      </c>
      <c r="I36" s="18">
        <f t="shared" ca="1" si="3"/>
        <v>28</v>
      </c>
      <c r="J36" s="50">
        <f t="shared" ca="1" si="4"/>
        <v>10</v>
      </c>
      <c r="K36" s="50" t="s">
        <v>910</v>
      </c>
      <c r="L36" s="50"/>
      <c r="M36" s="50"/>
      <c r="N36" s="18" t="s">
        <v>178</v>
      </c>
      <c r="O36" s="16">
        <v>43739</v>
      </c>
      <c r="P36" s="18">
        <v>18</v>
      </c>
      <c r="Q36" s="12">
        <v>10</v>
      </c>
      <c r="R36" s="18" t="s">
        <v>328</v>
      </c>
      <c r="T36" s="18" t="s">
        <v>39</v>
      </c>
      <c r="V36" s="18" t="str">
        <f t="shared" ca="1" si="5"/>
        <v>48 Tahun, 9 Bulan, 25 Hari</v>
      </c>
      <c r="W36" s="60" t="s">
        <v>333</v>
      </c>
      <c r="X36" s="48" t="s">
        <v>336</v>
      </c>
      <c r="Y36" s="21">
        <v>42736</v>
      </c>
      <c r="Z36" s="18"/>
    </row>
    <row r="37" spans="1:26" x14ac:dyDescent="0.35">
      <c r="A37" s="18">
        <v>7</v>
      </c>
      <c r="B37" s="15" t="s">
        <v>288</v>
      </c>
      <c r="C37" s="31" t="s">
        <v>301</v>
      </c>
      <c r="D37" s="12" t="s">
        <v>138</v>
      </c>
      <c r="E37" s="18" t="s">
        <v>312</v>
      </c>
      <c r="F37" s="12" t="s">
        <v>35</v>
      </c>
      <c r="G37" s="21">
        <v>24897</v>
      </c>
      <c r="H37" s="16">
        <v>32905</v>
      </c>
      <c r="I37" s="18">
        <f t="shared" ca="1" si="3"/>
        <v>34</v>
      </c>
      <c r="J37" s="50">
        <f t="shared" ca="1" si="4"/>
        <v>8</v>
      </c>
      <c r="K37" s="50" t="s">
        <v>910</v>
      </c>
      <c r="L37" s="50"/>
      <c r="M37" s="50"/>
      <c r="N37" s="18" t="s">
        <v>178</v>
      </c>
      <c r="O37" s="16">
        <v>43556</v>
      </c>
      <c r="P37" s="18">
        <v>24</v>
      </c>
      <c r="Q37" s="12">
        <v>2</v>
      </c>
      <c r="R37" s="18" t="s">
        <v>329</v>
      </c>
      <c r="T37" s="18" t="s">
        <v>39</v>
      </c>
      <c r="V37" s="18" t="str">
        <f t="shared" ca="1" si="5"/>
        <v>56 Tahun, 7 Bulan, 9 Hari</v>
      </c>
      <c r="W37" s="60" t="s">
        <v>333</v>
      </c>
      <c r="X37" s="48" t="s">
        <v>336</v>
      </c>
      <c r="Y37" s="21">
        <v>43374</v>
      </c>
      <c r="Z37" s="18"/>
    </row>
    <row r="38" spans="1:26" x14ac:dyDescent="0.35">
      <c r="A38" s="18">
        <v>8</v>
      </c>
      <c r="B38" s="15" t="s">
        <v>294</v>
      </c>
      <c r="C38" s="31" t="s">
        <v>302</v>
      </c>
      <c r="D38" s="12" t="s">
        <v>133</v>
      </c>
      <c r="E38" s="18" t="s">
        <v>313</v>
      </c>
      <c r="F38" s="12" t="s">
        <v>319</v>
      </c>
      <c r="G38" s="21">
        <v>25675</v>
      </c>
      <c r="H38" s="16">
        <v>34394</v>
      </c>
      <c r="I38" s="18">
        <f t="shared" ca="1" si="3"/>
        <v>30</v>
      </c>
      <c r="J38" s="50">
        <f t="shared" ca="1" si="4"/>
        <v>7</v>
      </c>
      <c r="K38" s="50" t="s">
        <v>910</v>
      </c>
      <c r="L38" s="50"/>
      <c r="M38" s="50"/>
      <c r="N38" s="18" t="s">
        <v>178</v>
      </c>
      <c r="O38" s="16">
        <v>44470</v>
      </c>
      <c r="P38" s="18">
        <v>22</v>
      </c>
      <c r="Q38" s="12">
        <v>7</v>
      </c>
      <c r="R38" s="18" t="s">
        <v>330</v>
      </c>
      <c r="T38" s="18" t="s">
        <v>220</v>
      </c>
      <c r="V38" s="18" t="str">
        <f t="shared" ca="1" si="5"/>
        <v>54 Tahun, 5 Bulan, 21 Hari</v>
      </c>
      <c r="W38" s="60" t="s">
        <v>333</v>
      </c>
      <c r="X38" s="48" t="s">
        <v>336</v>
      </c>
      <c r="Y38" s="21">
        <v>42887</v>
      </c>
      <c r="Z38" s="18"/>
    </row>
    <row r="39" spans="1:26" x14ac:dyDescent="0.35">
      <c r="A39" s="18">
        <v>9</v>
      </c>
      <c r="B39" s="15" t="s">
        <v>289</v>
      </c>
      <c r="C39" s="31" t="s">
        <v>303</v>
      </c>
      <c r="D39" s="12" t="s">
        <v>126</v>
      </c>
      <c r="E39" s="18" t="s">
        <v>132</v>
      </c>
      <c r="F39" s="12" t="s">
        <v>320</v>
      </c>
      <c r="G39" s="21">
        <v>24822</v>
      </c>
      <c r="H39" s="16">
        <v>33298</v>
      </c>
      <c r="I39" s="18">
        <f t="shared" ca="1" si="3"/>
        <v>33</v>
      </c>
      <c r="J39" s="50">
        <f t="shared" ca="1" si="4"/>
        <v>7</v>
      </c>
      <c r="K39" s="50" t="s">
        <v>910</v>
      </c>
      <c r="L39" s="50"/>
      <c r="M39" s="50" t="s">
        <v>1214</v>
      </c>
      <c r="N39" s="18" t="s">
        <v>179</v>
      </c>
      <c r="O39" s="16">
        <v>42095</v>
      </c>
      <c r="P39" s="18">
        <v>19</v>
      </c>
      <c r="Q39" s="12">
        <v>1</v>
      </c>
      <c r="R39" s="18" t="s">
        <v>331</v>
      </c>
      <c r="T39" s="18" t="s">
        <v>39</v>
      </c>
      <c r="V39" s="18" t="str">
        <f t="shared" ca="1" si="5"/>
        <v>56 Tahun, 9 Bulan, 22 Hari</v>
      </c>
      <c r="W39" s="60" t="s">
        <v>333</v>
      </c>
      <c r="X39" s="48" t="s">
        <v>335</v>
      </c>
      <c r="Y39" s="21">
        <v>43435</v>
      </c>
      <c r="Z39" s="18"/>
    </row>
    <row r="40" spans="1:26" x14ac:dyDescent="0.35">
      <c r="A40" s="18">
        <v>10</v>
      </c>
      <c r="B40" s="15" t="s">
        <v>290</v>
      </c>
      <c r="C40" s="31" t="s">
        <v>304</v>
      </c>
      <c r="D40" s="12" t="s">
        <v>126</v>
      </c>
      <c r="E40" s="18" t="s">
        <v>314</v>
      </c>
      <c r="F40" s="12" t="s">
        <v>321</v>
      </c>
      <c r="G40" s="21">
        <v>26157</v>
      </c>
      <c r="H40" s="16">
        <v>35827</v>
      </c>
      <c r="I40" s="18">
        <f t="shared" ca="1" si="3"/>
        <v>26</v>
      </c>
      <c r="J40" s="50">
        <f t="shared" ca="1" si="4"/>
        <v>8</v>
      </c>
      <c r="K40" s="50" t="s">
        <v>910</v>
      </c>
      <c r="L40" s="50"/>
      <c r="M40" s="50"/>
      <c r="N40" s="18" t="s">
        <v>179</v>
      </c>
      <c r="O40" s="16">
        <v>45200</v>
      </c>
      <c r="P40" s="18">
        <v>23</v>
      </c>
      <c r="Q40" s="12">
        <v>8</v>
      </c>
      <c r="R40" s="18" t="s">
        <v>332</v>
      </c>
      <c r="T40" s="18" t="s">
        <v>220</v>
      </c>
      <c r="V40" s="18" t="str">
        <f t="shared" ca="1" si="5"/>
        <v>53 Tahun, 1 Bulan, 26 Hari</v>
      </c>
      <c r="W40" s="60" t="s">
        <v>333</v>
      </c>
      <c r="X40" s="48" t="s">
        <v>335</v>
      </c>
      <c r="Y40" s="21">
        <v>43435</v>
      </c>
      <c r="Z40" s="18"/>
    </row>
    <row r="41" spans="1:26" x14ac:dyDescent="0.35">
      <c r="A41" s="18">
        <v>11</v>
      </c>
      <c r="B41" s="15" t="s">
        <v>291</v>
      </c>
      <c r="C41" s="31" t="s">
        <v>305</v>
      </c>
      <c r="D41" s="12" t="s">
        <v>126</v>
      </c>
      <c r="E41" s="18" t="s">
        <v>315</v>
      </c>
      <c r="F41" s="12" t="s">
        <v>322</v>
      </c>
      <c r="G41" s="21">
        <v>31255</v>
      </c>
      <c r="H41" s="16">
        <v>44166</v>
      </c>
      <c r="I41" s="18">
        <f t="shared" ca="1" si="3"/>
        <v>3</v>
      </c>
      <c r="J41" s="50">
        <f ca="1">DATEDIF(H41,$A$5,"YM")</f>
        <v>10</v>
      </c>
      <c r="K41" s="50" t="s">
        <v>910</v>
      </c>
      <c r="L41" s="50"/>
      <c r="M41" s="50"/>
      <c r="N41" s="18" t="s">
        <v>181</v>
      </c>
      <c r="O41" s="16">
        <v>44562</v>
      </c>
      <c r="P41" s="18">
        <v>1</v>
      </c>
      <c r="Q41" s="12">
        <v>1</v>
      </c>
      <c r="R41" s="18"/>
      <c r="T41" s="18" t="s">
        <v>39</v>
      </c>
      <c r="V41" s="18" t="str">
        <f ca="1">DATEDIF(G41,$A$5,"Y") &amp;" Tahun, "&amp;DATEDIF(G41,$A$5,"YM") &amp;" Bulan, "&amp;DATEDIF(G41,$A$5,"MD") &amp;" Hari"</f>
        <v>39 Tahun, 2 Bulan, 11 Hari</v>
      </c>
      <c r="W41" s="60" t="s">
        <v>333</v>
      </c>
      <c r="X41" s="48" t="s">
        <v>337</v>
      </c>
      <c r="Y41" s="21"/>
      <c r="Z41" s="18"/>
    </row>
    <row r="42" spans="1:26" x14ac:dyDescent="0.35">
      <c r="A42" s="18">
        <v>12</v>
      </c>
      <c r="B42" s="15" t="s">
        <v>1207</v>
      </c>
      <c r="C42" s="31" t="s">
        <v>1208</v>
      </c>
      <c r="E42" s="18"/>
      <c r="F42" s="12" t="s">
        <v>1209</v>
      </c>
      <c r="G42" s="21">
        <v>25617</v>
      </c>
      <c r="H42" s="16">
        <v>34029</v>
      </c>
      <c r="I42" s="18">
        <f t="shared" ca="1" si="3"/>
        <v>31</v>
      </c>
      <c r="J42" s="50">
        <f ca="1">DATEDIF(H42,$A$5,"YM")</f>
        <v>7</v>
      </c>
      <c r="K42" s="50" t="s">
        <v>910</v>
      </c>
      <c r="L42" s="50"/>
      <c r="M42" s="50" t="s">
        <v>1211</v>
      </c>
      <c r="N42" s="18" t="s">
        <v>178</v>
      </c>
      <c r="O42" s="16">
        <v>43374</v>
      </c>
      <c r="P42" s="18"/>
      <c r="R42" s="18" t="s">
        <v>1210</v>
      </c>
      <c r="T42" s="18" t="s">
        <v>220</v>
      </c>
      <c r="V42" s="18" t="str">
        <f ca="1">DATEDIF(G42,$A$5,"Y") &amp;" Tahun, "&amp;DATEDIF(G42,$A$5,"YM") &amp;" Bulan, "&amp;DATEDIF(G42,$A$5,"MD") &amp;" Hari"</f>
        <v>54 Tahun, 7 Bulan, 20 Hari</v>
      </c>
      <c r="W42" s="60" t="s">
        <v>333</v>
      </c>
      <c r="X42" s="48" t="s">
        <v>335</v>
      </c>
      <c r="Y42" s="21"/>
      <c r="Z42" s="18"/>
    </row>
    <row r="46" spans="1:26" x14ac:dyDescent="0.35">
      <c r="A46" s="46" t="str">
        <f>A7</f>
        <v>JURUSAN : LINGKUNGAN DAN KEHUTANAN</v>
      </c>
      <c r="B46" s="36"/>
      <c r="C46" s="36"/>
      <c r="D46" s="36"/>
    </row>
    <row r="47" spans="1:26" x14ac:dyDescent="0.35">
      <c r="A47" s="36" t="s">
        <v>382</v>
      </c>
    </row>
    <row r="48" spans="1:26" s="13" customFormat="1" ht="17" customHeight="1" x14ac:dyDescent="0.35">
      <c r="A48" s="233" t="s">
        <v>13</v>
      </c>
      <c r="B48" s="236" t="s">
        <v>14</v>
      </c>
      <c r="C48" s="245" t="s">
        <v>19</v>
      </c>
      <c r="D48" s="247" t="s">
        <v>15</v>
      </c>
      <c r="E48" s="233" t="s">
        <v>18</v>
      </c>
      <c r="F48" s="237" t="s">
        <v>16</v>
      </c>
      <c r="G48" s="233" t="s">
        <v>17</v>
      </c>
      <c r="H48" s="232" t="s">
        <v>36</v>
      </c>
      <c r="I48" s="249" t="s">
        <v>30</v>
      </c>
      <c r="J48" s="250"/>
      <c r="K48" s="224" t="s">
        <v>1215</v>
      </c>
      <c r="L48" s="230" t="s">
        <v>1206</v>
      </c>
      <c r="M48" s="230" t="s">
        <v>268</v>
      </c>
      <c r="N48" s="233" t="s">
        <v>20</v>
      </c>
      <c r="O48" s="232" t="s">
        <v>21</v>
      </c>
      <c r="P48" s="251" t="s">
        <v>29</v>
      </c>
      <c r="Q48" s="252"/>
      <c r="R48" s="233" t="s">
        <v>22</v>
      </c>
      <c r="S48" s="237" t="s">
        <v>23</v>
      </c>
      <c r="T48" s="51" t="s">
        <v>31</v>
      </c>
      <c r="U48" s="253" t="s">
        <v>25</v>
      </c>
      <c r="V48" s="233" t="s">
        <v>26</v>
      </c>
      <c r="W48" s="254" t="s">
        <v>258</v>
      </c>
      <c r="X48" s="255"/>
      <c r="Y48" s="241" t="s">
        <v>42</v>
      </c>
      <c r="Z48" s="233" t="s">
        <v>28</v>
      </c>
    </row>
    <row r="49" spans="1:26" s="13" customFormat="1" x14ac:dyDescent="0.35">
      <c r="A49" s="233"/>
      <c r="B49" s="236"/>
      <c r="C49" s="246"/>
      <c r="D49" s="248"/>
      <c r="E49" s="233"/>
      <c r="F49" s="237"/>
      <c r="G49" s="233"/>
      <c r="H49" s="232"/>
      <c r="I49" s="51" t="s">
        <v>3</v>
      </c>
      <c r="J49" s="52" t="s">
        <v>4</v>
      </c>
      <c r="K49" s="225"/>
      <c r="L49" s="231"/>
      <c r="M49" s="231"/>
      <c r="N49" s="233"/>
      <c r="O49" s="237"/>
      <c r="P49" s="51" t="s">
        <v>3</v>
      </c>
      <c r="Q49" s="53" t="s">
        <v>4</v>
      </c>
      <c r="R49" s="233"/>
      <c r="S49" s="237"/>
      <c r="T49" s="51" t="s">
        <v>24</v>
      </c>
      <c r="U49" s="253"/>
      <c r="V49" s="233"/>
      <c r="W49" s="256"/>
      <c r="X49" s="257"/>
      <c r="Y49" s="242"/>
      <c r="Z49" s="233"/>
    </row>
    <row r="50" spans="1:26" s="61" customFormat="1" ht="13.5" thickBot="1" x14ac:dyDescent="0.4">
      <c r="A50" s="54">
        <v>1</v>
      </c>
      <c r="B50" s="55">
        <v>2</v>
      </c>
      <c r="C50" s="56">
        <v>3</v>
      </c>
      <c r="D50" s="57">
        <v>4</v>
      </c>
      <c r="E50" s="54">
        <v>5</v>
      </c>
      <c r="F50" s="57">
        <v>6</v>
      </c>
      <c r="G50" s="54">
        <v>7</v>
      </c>
      <c r="H50" s="58">
        <v>8</v>
      </c>
      <c r="I50" s="54">
        <v>9</v>
      </c>
      <c r="J50" s="54">
        <v>10</v>
      </c>
      <c r="K50" s="54"/>
      <c r="L50" s="54"/>
      <c r="M50" s="54">
        <v>11</v>
      </c>
      <c r="N50" s="55">
        <v>12</v>
      </c>
      <c r="O50" s="54">
        <v>13</v>
      </c>
      <c r="P50" s="55">
        <v>14</v>
      </c>
      <c r="Q50" s="54">
        <v>15</v>
      </c>
      <c r="R50" s="55">
        <v>16</v>
      </c>
      <c r="S50" s="54">
        <v>17</v>
      </c>
      <c r="T50" s="55">
        <v>18</v>
      </c>
      <c r="U50" s="54">
        <v>19</v>
      </c>
      <c r="V50" s="55">
        <v>20</v>
      </c>
      <c r="W50" s="243">
        <v>21</v>
      </c>
      <c r="X50" s="244"/>
      <c r="Y50" s="55">
        <v>22</v>
      </c>
      <c r="Z50" s="54">
        <v>23</v>
      </c>
    </row>
    <row r="51" spans="1:26" ht="16" thickTop="1" x14ac:dyDescent="0.35">
      <c r="A51" s="18">
        <v>1</v>
      </c>
      <c r="B51" s="15" t="s">
        <v>383</v>
      </c>
      <c r="C51" s="34" t="s">
        <v>386</v>
      </c>
      <c r="D51" s="12" t="s">
        <v>126</v>
      </c>
      <c r="E51" s="18" t="s">
        <v>389</v>
      </c>
      <c r="F51" s="12" t="s">
        <v>390</v>
      </c>
      <c r="G51" s="21">
        <v>29869</v>
      </c>
      <c r="H51" s="16">
        <v>41730</v>
      </c>
      <c r="I51" s="18">
        <f ca="1">DATEDIF(H51,$A$5,"Y")</f>
        <v>10</v>
      </c>
      <c r="J51" s="50">
        <f ca="1">DATEDIF(H51,$A$5,"YM")</f>
        <v>6</v>
      </c>
      <c r="K51" s="50" t="s">
        <v>910</v>
      </c>
      <c r="L51" s="50"/>
      <c r="M51" s="49"/>
      <c r="N51" s="18" t="s">
        <v>180</v>
      </c>
      <c r="O51" s="16">
        <v>43739</v>
      </c>
      <c r="P51" s="18">
        <v>5</v>
      </c>
      <c r="Q51" s="12">
        <v>6</v>
      </c>
      <c r="R51" s="18" t="s">
        <v>436</v>
      </c>
      <c r="T51" s="18" t="s">
        <v>39</v>
      </c>
      <c r="V51" s="18" t="str">
        <f ca="1">DATEDIF(G51,$A$5,"Y") &amp;" Tahun, "&amp;DATEDIF(G51,$A$5,"YM") &amp;" Bulan, "&amp;DATEDIF(G51,$A$5,"MD") &amp;" Hari"</f>
        <v>42 Tahun, 11 Bulan, 28 Hari</v>
      </c>
      <c r="W51" s="60" t="s">
        <v>333</v>
      </c>
      <c r="X51" s="48" t="s">
        <v>337</v>
      </c>
      <c r="Y51" s="21">
        <v>43101</v>
      </c>
      <c r="Z51" s="18"/>
    </row>
    <row r="52" spans="1:26" x14ac:dyDescent="0.35">
      <c r="A52" s="18">
        <v>2</v>
      </c>
      <c r="B52" s="15" t="s">
        <v>384</v>
      </c>
      <c r="C52" s="31" t="s">
        <v>387</v>
      </c>
      <c r="D52" s="12" t="s">
        <v>133</v>
      </c>
      <c r="E52" s="18" t="s">
        <v>147</v>
      </c>
      <c r="F52" s="12" t="s">
        <v>35</v>
      </c>
      <c r="G52" s="21">
        <v>29974</v>
      </c>
      <c r="H52" s="16">
        <v>40513</v>
      </c>
      <c r="I52" s="18">
        <f ca="1">DATEDIF(H52,$A$5,"Y")</f>
        <v>13</v>
      </c>
      <c r="J52" s="50">
        <f ca="1">DATEDIF(H52,$A$5,"YM")</f>
        <v>10</v>
      </c>
      <c r="K52" s="50" t="s">
        <v>910</v>
      </c>
      <c r="L52" s="50"/>
      <c r="M52" s="50"/>
      <c r="N52" s="18" t="s">
        <v>181</v>
      </c>
      <c r="O52" s="16">
        <v>45017</v>
      </c>
      <c r="P52" s="18">
        <v>10</v>
      </c>
      <c r="Q52" s="12">
        <v>4</v>
      </c>
      <c r="R52" s="18" t="s">
        <v>437</v>
      </c>
      <c r="T52" s="18" t="s">
        <v>39</v>
      </c>
      <c r="V52" s="18" t="str">
        <f ca="1">DATEDIF(G52,$A$5,"Y") &amp;" Tahun, "&amp;DATEDIF(G52,$A$5,"YM") &amp;" Bulan, "&amp;DATEDIF(G52,$A$5,"MD") &amp;" Hari"</f>
        <v>42 Tahun, 8 Bulan, 15 Hari</v>
      </c>
      <c r="W52" s="60" t="s">
        <v>333</v>
      </c>
      <c r="X52" s="48" t="s">
        <v>1216</v>
      </c>
      <c r="Y52" s="21">
        <v>43374</v>
      </c>
      <c r="Z52" s="18"/>
    </row>
    <row r="53" spans="1:26" x14ac:dyDescent="0.35">
      <c r="A53" s="18">
        <v>3</v>
      </c>
      <c r="B53" s="15" t="s">
        <v>385</v>
      </c>
      <c r="C53" s="31" t="s">
        <v>388</v>
      </c>
      <c r="D53" s="12" t="s">
        <v>133</v>
      </c>
      <c r="E53" s="18" t="s">
        <v>147</v>
      </c>
      <c r="F53" s="12" t="s">
        <v>366</v>
      </c>
      <c r="G53" s="21">
        <v>30081</v>
      </c>
      <c r="H53" s="16">
        <v>40513</v>
      </c>
      <c r="I53" s="18">
        <f ca="1">DATEDIF(H53,$A$5,"Y")</f>
        <v>13</v>
      </c>
      <c r="J53" s="50">
        <f ca="1">DATEDIF(H53,$A$5,"YM")</f>
        <v>10</v>
      </c>
      <c r="K53" s="50" t="s">
        <v>910</v>
      </c>
      <c r="L53" s="50"/>
      <c r="M53" s="50"/>
      <c r="N53" s="18" t="s">
        <v>181</v>
      </c>
      <c r="O53" s="16">
        <v>45017</v>
      </c>
      <c r="P53" s="18">
        <v>10</v>
      </c>
      <c r="Q53" s="12">
        <v>4</v>
      </c>
      <c r="R53" s="18" t="s">
        <v>438</v>
      </c>
      <c r="T53" s="18" t="s">
        <v>39</v>
      </c>
      <c r="V53" s="18" t="str">
        <f ca="1">DATEDIF(G53,$A$5,"Y") &amp;" Tahun, "&amp;DATEDIF(G53,$A$5,"YM") &amp;" Bulan, "&amp;DATEDIF(G53,$A$5,"MD") &amp;" Hari"</f>
        <v>42 Tahun, 4 Bulan, 28 Hari</v>
      </c>
      <c r="W53" s="60" t="s">
        <v>333</v>
      </c>
      <c r="X53" s="48" t="s">
        <v>1216</v>
      </c>
      <c r="Y53" s="21">
        <v>43374</v>
      </c>
      <c r="Z53" s="18"/>
    </row>
    <row r="57" spans="1:26" x14ac:dyDescent="0.35">
      <c r="A57" s="46" t="s">
        <v>1146</v>
      </c>
      <c r="B57" s="36"/>
      <c r="C57" s="36"/>
      <c r="D57" s="36"/>
    </row>
    <row r="58" spans="1:26" x14ac:dyDescent="0.35">
      <c r="A58" s="36" t="s">
        <v>391</v>
      </c>
    </row>
    <row r="59" spans="1:26" s="13" customFormat="1" ht="17" customHeight="1" x14ac:dyDescent="0.35">
      <c r="A59" s="238" t="s">
        <v>13</v>
      </c>
      <c r="B59" s="277" t="s">
        <v>14</v>
      </c>
      <c r="C59" s="278" t="s">
        <v>19</v>
      </c>
      <c r="D59" s="280" t="s">
        <v>15</v>
      </c>
      <c r="E59" s="238" t="s">
        <v>18</v>
      </c>
      <c r="F59" s="282" t="s">
        <v>16</v>
      </c>
      <c r="G59" s="238" t="s">
        <v>17</v>
      </c>
      <c r="H59" s="283" t="s">
        <v>36</v>
      </c>
      <c r="I59" s="284" t="s">
        <v>30</v>
      </c>
      <c r="J59" s="285"/>
      <c r="K59" s="226" t="s">
        <v>1215</v>
      </c>
      <c r="L59" s="226" t="s">
        <v>1206</v>
      </c>
      <c r="M59" s="295" t="s">
        <v>268</v>
      </c>
      <c r="N59" s="238" t="s">
        <v>20</v>
      </c>
      <c r="O59" s="283" t="s">
        <v>21</v>
      </c>
      <c r="P59" s="297" t="s">
        <v>29</v>
      </c>
      <c r="Q59" s="298"/>
      <c r="R59" s="238" t="s">
        <v>22</v>
      </c>
      <c r="S59" s="282" t="s">
        <v>23</v>
      </c>
      <c r="T59" s="64" t="s">
        <v>31</v>
      </c>
      <c r="U59" s="288" t="s">
        <v>25</v>
      </c>
      <c r="V59" s="238" t="s">
        <v>26</v>
      </c>
      <c r="W59" s="289" t="s">
        <v>258</v>
      </c>
      <c r="X59" s="290"/>
      <c r="Y59" s="293" t="s">
        <v>42</v>
      </c>
      <c r="Z59" s="238" t="s">
        <v>28</v>
      </c>
    </row>
    <row r="60" spans="1:26" s="13" customFormat="1" x14ac:dyDescent="0.35">
      <c r="A60" s="238"/>
      <c r="B60" s="277"/>
      <c r="C60" s="279"/>
      <c r="D60" s="281"/>
      <c r="E60" s="238"/>
      <c r="F60" s="282"/>
      <c r="G60" s="238"/>
      <c r="H60" s="283"/>
      <c r="I60" s="64" t="s">
        <v>3</v>
      </c>
      <c r="J60" s="65" t="s">
        <v>4</v>
      </c>
      <c r="K60" s="227"/>
      <c r="L60" s="227"/>
      <c r="M60" s="296"/>
      <c r="N60" s="238"/>
      <c r="O60" s="282"/>
      <c r="P60" s="64" t="s">
        <v>3</v>
      </c>
      <c r="Q60" s="66" t="s">
        <v>4</v>
      </c>
      <c r="R60" s="238"/>
      <c r="S60" s="282"/>
      <c r="T60" s="64" t="s">
        <v>24</v>
      </c>
      <c r="U60" s="288"/>
      <c r="V60" s="238"/>
      <c r="W60" s="291"/>
      <c r="X60" s="292"/>
      <c r="Y60" s="294"/>
      <c r="Z60" s="238"/>
    </row>
    <row r="61" spans="1:26" s="61" customFormat="1" ht="13.5" thickBot="1" x14ac:dyDescent="0.4">
      <c r="A61" s="41">
        <v>1</v>
      </c>
      <c r="B61" s="42">
        <v>2</v>
      </c>
      <c r="C61" s="43">
        <v>3</v>
      </c>
      <c r="D61" s="44">
        <v>4</v>
      </c>
      <c r="E61" s="41">
        <v>5</v>
      </c>
      <c r="F61" s="44">
        <v>6</v>
      </c>
      <c r="G61" s="41">
        <v>7</v>
      </c>
      <c r="H61" s="45">
        <v>8</v>
      </c>
      <c r="I61" s="41">
        <v>9</v>
      </c>
      <c r="J61" s="41">
        <v>10</v>
      </c>
      <c r="K61" s="41"/>
      <c r="L61" s="41"/>
      <c r="M61" s="41">
        <v>11</v>
      </c>
      <c r="N61" s="42">
        <v>12</v>
      </c>
      <c r="O61" s="41">
        <v>13</v>
      </c>
      <c r="P61" s="42">
        <v>14</v>
      </c>
      <c r="Q61" s="41">
        <v>15</v>
      </c>
      <c r="R61" s="42">
        <v>16</v>
      </c>
      <c r="S61" s="41">
        <v>17</v>
      </c>
      <c r="T61" s="42">
        <v>18</v>
      </c>
      <c r="U61" s="41">
        <v>19</v>
      </c>
      <c r="V61" s="42">
        <v>20</v>
      </c>
      <c r="W61" s="286">
        <v>21</v>
      </c>
      <c r="X61" s="287"/>
      <c r="Y61" s="42">
        <v>22</v>
      </c>
      <c r="Z61" s="41">
        <v>23</v>
      </c>
    </row>
    <row r="62" spans="1:26" ht="16" thickTop="1" x14ac:dyDescent="0.35">
      <c r="A62" s="18">
        <v>1</v>
      </c>
      <c r="B62" s="15" t="s">
        <v>392</v>
      </c>
      <c r="C62" s="34" t="s">
        <v>398</v>
      </c>
      <c r="D62" s="12" t="s">
        <v>126</v>
      </c>
      <c r="E62" s="18" t="s">
        <v>308</v>
      </c>
      <c r="F62" s="12" t="s">
        <v>406</v>
      </c>
      <c r="G62" s="21">
        <v>29952</v>
      </c>
      <c r="H62" s="16">
        <v>37956</v>
      </c>
      <c r="I62" s="18">
        <f t="shared" ref="I62:I67" ca="1" si="6">DATEDIF(H62,$A$5,"Y")</f>
        <v>20</v>
      </c>
      <c r="J62" s="18">
        <f t="shared" ref="J62:J67" ca="1" si="7">DATEDIF(H62,$A$5,"YM")</f>
        <v>10</v>
      </c>
      <c r="K62" s="50" t="s">
        <v>910</v>
      </c>
      <c r="L62" s="50"/>
      <c r="M62" s="49"/>
      <c r="N62" s="18" t="s">
        <v>178</v>
      </c>
      <c r="O62" s="16">
        <v>45200</v>
      </c>
      <c r="P62" s="18">
        <v>17</v>
      </c>
      <c r="Q62" s="12">
        <v>11</v>
      </c>
      <c r="R62" s="18" t="s">
        <v>430</v>
      </c>
      <c r="T62" s="18" t="s">
        <v>39</v>
      </c>
      <c r="V62" s="18" t="str">
        <f t="shared" ref="V62:V67" ca="1" si="8">DATEDIF(G62,$A$5,"Y") &amp;" Tahun, "&amp;DATEDIF(G62,$A$5,"YM") &amp;" Bulan, "&amp;DATEDIF(G62,$A$5,"MD") &amp;" Hari"</f>
        <v>42 Tahun, 9 Bulan, 7 Hari</v>
      </c>
      <c r="W62" s="60" t="s">
        <v>333</v>
      </c>
      <c r="X62" s="48" t="s">
        <v>335</v>
      </c>
      <c r="Y62" s="21">
        <v>42736</v>
      </c>
      <c r="Z62" s="18"/>
    </row>
    <row r="63" spans="1:26" x14ac:dyDescent="0.35">
      <c r="A63" s="18">
        <v>2</v>
      </c>
      <c r="B63" s="15" t="s">
        <v>393</v>
      </c>
      <c r="C63" s="31" t="s">
        <v>399</v>
      </c>
      <c r="D63" s="12" t="s">
        <v>126</v>
      </c>
      <c r="E63" s="18" t="s">
        <v>308</v>
      </c>
      <c r="F63" s="12" t="s">
        <v>35</v>
      </c>
      <c r="G63" s="21">
        <v>30087</v>
      </c>
      <c r="H63" s="16">
        <v>38353</v>
      </c>
      <c r="I63" s="18">
        <f t="shared" ca="1" si="6"/>
        <v>19</v>
      </c>
      <c r="J63" s="18">
        <f t="shared" ca="1" si="7"/>
        <v>9</v>
      </c>
      <c r="K63" s="50" t="s">
        <v>910</v>
      </c>
      <c r="L63" s="50"/>
      <c r="M63" s="50"/>
      <c r="N63" s="18" t="s">
        <v>178</v>
      </c>
      <c r="O63" s="16">
        <v>45200</v>
      </c>
      <c r="P63" s="18">
        <v>16</v>
      </c>
      <c r="Q63" s="12">
        <v>10</v>
      </c>
      <c r="R63" s="18" t="s">
        <v>431</v>
      </c>
      <c r="T63" s="18" t="s">
        <v>220</v>
      </c>
      <c r="V63" s="18" t="str">
        <f t="shared" ca="1" si="8"/>
        <v>42 Tahun, 4 Bulan, 22 Hari</v>
      </c>
      <c r="W63" s="60" t="s">
        <v>333</v>
      </c>
      <c r="X63" s="48" t="s">
        <v>335</v>
      </c>
      <c r="Y63" s="21">
        <v>43101</v>
      </c>
      <c r="Z63" s="18"/>
    </row>
    <row r="64" spans="1:26" x14ac:dyDescent="0.35">
      <c r="A64" s="18">
        <v>3</v>
      </c>
      <c r="B64" s="15" t="s">
        <v>394</v>
      </c>
      <c r="C64" s="31" t="s">
        <v>400</v>
      </c>
      <c r="D64" s="12" t="s">
        <v>126</v>
      </c>
      <c r="E64" s="18" t="s">
        <v>132</v>
      </c>
      <c r="F64" s="12" t="s">
        <v>35</v>
      </c>
      <c r="G64" s="21">
        <v>28491</v>
      </c>
      <c r="H64" s="16">
        <v>37956</v>
      </c>
      <c r="I64" s="18">
        <f t="shared" ca="1" si="6"/>
        <v>20</v>
      </c>
      <c r="J64" s="18">
        <f t="shared" ca="1" si="7"/>
        <v>10</v>
      </c>
      <c r="K64" s="50" t="s">
        <v>910</v>
      </c>
      <c r="L64" s="50"/>
      <c r="M64" s="50"/>
      <c r="N64" s="18" t="s">
        <v>180</v>
      </c>
      <c r="O64" s="16">
        <v>43556</v>
      </c>
      <c r="P64" s="18">
        <v>13</v>
      </c>
      <c r="Q64" s="12">
        <v>4</v>
      </c>
      <c r="R64" s="18" t="s">
        <v>432</v>
      </c>
      <c r="T64" s="18" t="s">
        <v>39</v>
      </c>
      <c r="V64" s="18" t="str">
        <f t="shared" ca="1" si="8"/>
        <v>46 Tahun, 9 Bulan, 7 Hari</v>
      </c>
      <c r="W64" s="60" t="s">
        <v>333</v>
      </c>
      <c r="X64" s="48" t="s">
        <v>337</v>
      </c>
      <c r="Y64" s="21">
        <v>43405</v>
      </c>
      <c r="Z64" s="18"/>
    </row>
    <row r="65" spans="1:26" x14ac:dyDescent="0.35">
      <c r="A65" s="18">
        <v>4</v>
      </c>
      <c r="B65" s="15" t="s">
        <v>395</v>
      </c>
      <c r="C65" s="31" t="s">
        <v>401</v>
      </c>
      <c r="D65" s="12" t="s">
        <v>126</v>
      </c>
      <c r="E65" s="18" t="s">
        <v>404</v>
      </c>
      <c r="F65" s="12" t="s">
        <v>35</v>
      </c>
      <c r="G65" s="21">
        <v>30450</v>
      </c>
      <c r="H65" s="16">
        <v>38353</v>
      </c>
      <c r="I65" s="18">
        <f t="shared" ca="1" si="6"/>
        <v>19</v>
      </c>
      <c r="J65" s="18">
        <f t="shared" ca="1" si="7"/>
        <v>9</v>
      </c>
      <c r="K65" s="50" t="s">
        <v>910</v>
      </c>
      <c r="L65" s="50"/>
      <c r="M65" s="50"/>
      <c r="N65" s="18" t="s">
        <v>180</v>
      </c>
      <c r="O65" s="16">
        <v>45200</v>
      </c>
      <c r="P65" s="18">
        <v>16</v>
      </c>
      <c r="Q65" s="12">
        <v>9</v>
      </c>
      <c r="R65" s="18" t="s">
        <v>433</v>
      </c>
      <c r="T65" s="18" t="s">
        <v>220</v>
      </c>
      <c r="V65" s="18" t="str">
        <f t="shared" ca="1" si="8"/>
        <v>41 Tahun, 4 Bulan, 24 Hari</v>
      </c>
      <c r="W65" s="60" t="s">
        <v>333</v>
      </c>
      <c r="X65" s="48" t="s">
        <v>337</v>
      </c>
      <c r="Y65" s="21">
        <v>40544</v>
      </c>
      <c r="Z65" s="18"/>
    </row>
    <row r="66" spans="1:26" x14ac:dyDescent="0.35">
      <c r="A66" s="18">
        <v>5</v>
      </c>
      <c r="B66" s="15" t="s">
        <v>396</v>
      </c>
      <c r="C66" s="31" t="s">
        <v>402</v>
      </c>
      <c r="D66" s="12" t="s">
        <v>126</v>
      </c>
      <c r="E66" s="18" t="s">
        <v>405</v>
      </c>
      <c r="F66" s="12" t="s">
        <v>407</v>
      </c>
      <c r="G66" s="21">
        <v>32964</v>
      </c>
      <c r="H66" s="16">
        <v>43525</v>
      </c>
      <c r="I66" s="18">
        <f t="shared" ca="1" si="6"/>
        <v>5</v>
      </c>
      <c r="J66" s="18">
        <f t="shared" ca="1" si="7"/>
        <v>7</v>
      </c>
      <c r="K66" s="50" t="s">
        <v>910</v>
      </c>
      <c r="L66" s="50"/>
      <c r="M66" s="50"/>
      <c r="N66" s="18" t="s">
        <v>181</v>
      </c>
      <c r="O66" s="16">
        <v>44197</v>
      </c>
      <c r="P66" s="18">
        <v>1</v>
      </c>
      <c r="Q66" s="12">
        <v>10</v>
      </c>
      <c r="R66" s="18" t="s">
        <v>434</v>
      </c>
      <c r="T66" s="18" t="s">
        <v>220</v>
      </c>
      <c r="V66" s="18" t="str">
        <f t="shared" ca="1" si="8"/>
        <v>34 Tahun, 6 Bulan, 7 Hari</v>
      </c>
      <c r="W66" s="60" t="s">
        <v>333</v>
      </c>
      <c r="X66" s="48" t="s">
        <v>337</v>
      </c>
      <c r="Y66" s="21">
        <v>44804</v>
      </c>
      <c r="Z66" s="18"/>
    </row>
    <row r="67" spans="1:26" x14ac:dyDescent="0.35">
      <c r="A67" s="18">
        <v>6</v>
      </c>
      <c r="B67" s="15" t="s">
        <v>397</v>
      </c>
      <c r="C67" s="31" t="s">
        <v>403</v>
      </c>
      <c r="D67" s="12" t="s">
        <v>126</v>
      </c>
      <c r="E67" s="18" t="s">
        <v>309</v>
      </c>
      <c r="F67" s="12" t="s">
        <v>408</v>
      </c>
      <c r="G67" s="21">
        <v>31791</v>
      </c>
      <c r="H67" s="16">
        <v>40148</v>
      </c>
      <c r="I67" s="18">
        <f t="shared" ca="1" si="6"/>
        <v>14</v>
      </c>
      <c r="J67" s="18">
        <f t="shared" ca="1" si="7"/>
        <v>10</v>
      </c>
      <c r="K67" s="50" t="s">
        <v>910</v>
      </c>
      <c r="L67" s="50"/>
      <c r="M67" s="50" t="s">
        <v>1212</v>
      </c>
      <c r="N67" s="18" t="s">
        <v>180</v>
      </c>
      <c r="O67" s="16">
        <v>45200</v>
      </c>
      <c r="P67" s="18">
        <v>11</v>
      </c>
      <c r="Q67" s="12">
        <v>10</v>
      </c>
      <c r="R67" s="18" t="s">
        <v>435</v>
      </c>
      <c r="T67" s="18" t="s">
        <v>220</v>
      </c>
      <c r="V67" s="18" t="str">
        <f t="shared" ca="1" si="8"/>
        <v>37 Tahun, 8 Bulan, 24 Hari</v>
      </c>
      <c r="W67" s="60" t="s">
        <v>333</v>
      </c>
      <c r="X67" s="48" t="s">
        <v>337</v>
      </c>
      <c r="Y67" s="21">
        <v>43556</v>
      </c>
      <c r="Z67" s="18"/>
    </row>
    <row r="68" spans="1:26" x14ac:dyDescent="0.35">
      <c r="K68" s="50"/>
    </row>
    <row r="71" spans="1:26" x14ac:dyDescent="0.35">
      <c r="A71" s="46" t="str">
        <f>A57</f>
        <v>JURUSAN : PERTANIAN</v>
      </c>
      <c r="B71" s="36"/>
      <c r="C71" s="36"/>
      <c r="D71" s="36"/>
    </row>
    <row r="72" spans="1:26" x14ac:dyDescent="0.35">
      <c r="A72" s="36" t="s">
        <v>409</v>
      </c>
    </row>
    <row r="73" spans="1:26" s="13" customFormat="1" ht="17" customHeight="1" x14ac:dyDescent="0.35">
      <c r="A73" s="238" t="s">
        <v>13</v>
      </c>
      <c r="B73" s="277" t="s">
        <v>14</v>
      </c>
      <c r="C73" s="278" t="s">
        <v>19</v>
      </c>
      <c r="D73" s="280" t="s">
        <v>15</v>
      </c>
      <c r="E73" s="238" t="s">
        <v>18</v>
      </c>
      <c r="F73" s="282" t="s">
        <v>16</v>
      </c>
      <c r="G73" s="238" t="s">
        <v>17</v>
      </c>
      <c r="H73" s="283" t="s">
        <v>36</v>
      </c>
      <c r="I73" s="284" t="s">
        <v>30</v>
      </c>
      <c r="J73" s="285"/>
      <c r="K73" s="226" t="s">
        <v>1215</v>
      </c>
      <c r="L73" s="226" t="s">
        <v>1206</v>
      </c>
      <c r="M73" s="295" t="s">
        <v>268</v>
      </c>
      <c r="N73" s="238" t="s">
        <v>20</v>
      </c>
      <c r="O73" s="283" t="s">
        <v>21</v>
      </c>
      <c r="P73" s="297" t="s">
        <v>29</v>
      </c>
      <c r="Q73" s="298"/>
      <c r="R73" s="238" t="s">
        <v>22</v>
      </c>
      <c r="S73" s="282" t="s">
        <v>23</v>
      </c>
      <c r="T73" s="64" t="s">
        <v>31</v>
      </c>
      <c r="U73" s="288" t="s">
        <v>25</v>
      </c>
      <c r="V73" s="238" t="s">
        <v>26</v>
      </c>
      <c r="W73" s="289" t="s">
        <v>258</v>
      </c>
      <c r="X73" s="290"/>
      <c r="Y73" s="293" t="s">
        <v>42</v>
      </c>
      <c r="Z73" s="238" t="s">
        <v>28</v>
      </c>
    </row>
    <row r="74" spans="1:26" s="13" customFormat="1" x14ac:dyDescent="0.35">
      <c r="A74" s="238"/>
      <c r="B74" s="277"/>
      <c r="C74" s="279"/>
      <c r="D74" s="281"/>
      <c r="E74" s="238"/>
      <c r="F74" s="282"/>
      <c r="G74" s="238"/>
      <c r="H74" s="283"/>
      <c r="I74" s="64" t="s">
        <v>3</v>
      </c>
      <c r="J74" s="65" t="s">
        <v>4</v>
      </c>
      <c r="K74" s="227"/>
      <c r="L74" s="227"/>
      <c r="M74" s="296"/>
      <c r="N74" s="238"/>
      <c r="O74" s="282"/>
      <c r="P74" s="64" t="s">
        <v>3</v>
      </c>
      <c r="Q74" s="66" t="s">
        <v>4</v>
      </c>
      <c r="R74" s="238"/>
      <c r="S74" s="282"/>
      <c r="T74" s="64" t="s">
        <v>24</v>
      </c>
      <c r="U74" s="288"/>
      <c r="V74" s="238"/>
      <c r="W74" s="291"/>
      <c r="X74" s="292"/>
      <c r="Y74" s="294"/>
      <c r="Z74" s="238"/>
    </row>
    <row r="75" spans="1:26" s="61" customFormat="1" ht="13.5" thickBot="1" x14ac:dyDescent="0.4">
      <c r="A75" s="41">
        <v>1</v>
      </c>
      <c r="B75" s="42">
        <v>2</v>
      </c>
      <c r="C75" s="43">
        <v>3</v>
      </c>
      <c r="D75" s="44">
        <v>4</v>
      </c>
      <c r="E75" s="41">
        <v>5</v>
      </c>
      <c r="F75" s="44">
        <v>6</v>
      </c>
      <c r="G75" s="41">
        <v>7</v>
      </c>
      <c r="H75" s="45">
        <v>8</v>
      </c>
      <c r="I75" s="41">
        <v>9</v>
      </c>
      <c r="J75" s="41">
        <v>10</v>
      </c>
      <c r="K75" s="41"/>
      <c r="L75" s="41"/>
      <c r="M75" s="41">
        <v>11</v>
      </c>
      <c r="N75" s="42">
        <v>12</v>
      </c>
      <c r="O75" s="41">
        <v>13</v>
      </c>
      <c r="P75" s="42">
        <v>14</v>
      </c>
      <c r="Q75" s="41">
        <v>15</v>
      </c>
      <c r="R75" s="42">
        <v>16</v>
      </c>
      <c r="S75" s="41">
        <v>17</v>
      </c>
      <c r="T75" s="42">
        <v>18</v>
      </c>
      <c r="U75" s="41">
        <v>19</v>
      </c>
      <c r="V75" s="42">
        <v>20</v>
      </c>
      <c r="W75" s="286">
        <v>21</v>
      </c>
      <c r="X75" s="287"/>
      <c r="Y75" s="42">
        <v>22</v>
      </c>
      <c r="Z75" s="41">
        <v>23</v>
      </c>
    </row>
    <row r="76" spans="1:26" ht="16" thickTop="1" x14ac:dyDescent="0.35">
      <c r="A76" s="18">
        <v>1</v>
      </c>
      <c r="B76" s="15" t="s">
        <v>410</v>
      </c>
      <c r="C76" s="34" t="s">
        <v>418</v>
      </c>
      <c r="D76" s="12" t="s">
        <v>126</v>
      </c>
      <c r="E76" s="18" t="s">
        <v>132</v>
      </c>
      <c r="F76" s="12" t="s">
        <v>165</v>
      </c>
      <c r="G76" s="21">
        <v>25393</v>
      </c>
      <c r="H76" s="16">
        <v>37591</v>
      </c>
      <c r="I76" s="18">
        <f ca="1">DATEDIF(H76,$A$5,"Y")</f>
        <v>21</v>
      </c>
      <c r="J76" s="18">
        <f ca="1">DATEDIF(H76,$A$5,"YM")</f>
        <v>10</v>
      </c>
      <c r="K76" s="50" t="s">
        <v>910</v>
      </c>
      <c r="L76" s="50"/>
      <c r="M76" s="49"/>
      <c r="N76" s="18" t="s">
        <v>178</v>
      </c>
      <c r="O76" s="16">
        <v>43739</v>
      </c>
      <c r="P76" s="18">
        <v>11</v>
      </c>
      <c r="Q76" s="12">
        <v>10</v>
      </c>
      <c r="R76" s="18" t="s">
        <v>439</v>
      </c>
      <c r="T76" s="18" t="s">
        <v>220</v>
      </c>
      <c r="V76" s="18" t="str">
        <f ca="1">DATEDIF(G76,$A$5,"Y") &amp;" Tahun, "&amp;DATEDIF(G76,$A$5,"YM") &amp;" Bulan, "&amp;DATEDIF(G76,$A$5,"MD") &amp;" Hari"</f>
        <v>55 Tahun, 2 Bulan, 29 Hari</v>
      </c>
      <c r="W76" s="60" t="s">
        <v>333</v>
      </c>
      <c r="X76" s="48" t="s">
        <v>335</v>
      </c>
      <c r="Y76" s="21">
        <v>42736</v>
      </c>
      <c r="Z76" s="18"/>
    </row>
    <row r="77" spans="1:26" x14ac:dyDescent="0.35">
      <c r="A77" s="18">
        <v>2</v>
      </c>
      <c r="B77" s="15" t="s">
        <v>411</v>
      </c>
      <c r="C77" s="31" t="s">
        <v>419</v>
      </c>
      <c r="D77" s="12" t="s">
        <v>126</v>
      </c>
      <c r="E77" s="18" t="s">
        <v>308</v>
      </c>
      <c r="F77" s="12" t="s">
        <v>35</v>
      </c>
      <c r="G77" s="21">
        <v>26458</v>
      </c>
      <c r="H77" s="16">
        <v>36861</v>
      </c>
      <c r="I77" s="18">
        <f t="shared" ref="I77:I83" ca="1" si="9">DATEDIF(H77,$A$5,"Y")</f>
        <v>23</v>
      </c>
      <c r="J77" s="18">
        <f t="shared" ref="J77:J83" ca="1" si="10">DATEDIF(H77,$A$5,"YM")</f>
        <v>10</v>
      </c>
      <c r="K77" s="50" t="s">
        <v>910</v>
      </c>
      <c r="L77" s="50"/>
      <c r="M77" s="50"/>
      <c r="N77" s="18" t="s">
        <v>178</v>
      </c>
      <c r="O77" s="16">
        <v>42644</v>
      </c>
      <c r="P77" s="18">
        <v>13</v>
      </c>
      <c r="Q77" s="12">
        <v>10</v>
      </c>
      <c r="R77" s="18" t="s">
        <v>440</v>
      </c>
      <c r="T77" s="18" t="s">
        <v>39</v>
      </c>
      <c r="V77" s="18" t="str">
        <f t="shared" ref="V77:V83" ca="1" si="11">DATEDIF(G77,$A$5,"Y") &amp;" Tahun, "&amp;DATEDIF(G77,$A$5,"YM") &amp;" Bulan, "&amp;DATEDIF(G77,$A$5,"MD") &amp;" Hari"</f>
        <v>52 Tahun, 4 Bulan, 0 Hari</v>
      </c>
      <c r="W77" s="60" t="s">
        <v>333</v>
      </c>
      <c r="X77" s="48" t="s">
        <v>335</v>
      </c>
      <c r="Y77" s="21">
        <v>44379</v>
      </c>
      <c r="Z77" s="18"/>
    </row>
    <row r="78" spans="1:26" x14ac:dyDescent="0.35">
      <c r="A78" s="18">
        <v>3</v>
      </c>
      <c r="B78" s="15" t="s">
        <v>412</v>
      </c>
      <c r="C78" s="31" t="s">
        <v>420</v>
      </c>
      <c r="D78" s="12" t="s">
        <v>126</v>
      </c>
      <c r="E78" s="18" t="s">
        <v>132</v>
      </c>
      <c r="F78" s="12" t="s">
        <v>427</v>
      </c>
      <c r="G78" s="21">
        <v>25644</v>
      </c>
      <c r="H78" s="16">
        <v>38353</v>
      </c>
      <c r="I78" s="18">
        <f t="shared" ca="1" si="9"/>
        <v>19</v>
      </c>
      <c r="J78" s="18">
        <f t="shared" ca="1" si="10"/>
        <v>9</v>
      </c>
      <c r="K78" s="50" t="s">
        <v>910</v>
      </c>
      <c r="L78" s="50"/>
      <c r="M78" s="50"/>
      <c r="N78" s="18" t="s">
        <v>178</v>
      </c>
      <c r="O78" s="16">
        <v>44470</v>
      </c>
      <c r="P78" s="18">
        <v>11</v>
      </c>
      <c r="Q78" s="12">
        <v>9</v>
      </c>
      <c r="R78" s="18" t="s">
        <v>441</v>
      </c>
      <c r="T78" s="18" t="s">
        <v>39</v>
      </c>
      <c r="V78" s="18" t="str">
        <f t="shared" ca="1" si="11"/>
        <v>54 Tahun, 6 Bulan, 21 Hari</v>
      </c>
      <c r="W78" s="60" t="s">
        <v>333</v>
      </c>
      <c r="X78" s="48" t="s">
        <v>335</v>
      </c>
      <c r="Y78" s="21">
        <v>44379</v>
      </c>
      <c r="Z78" s="18"/>
    </row>
    <row r="79" spans="1:26" x14ac:dyDescent="0.35">
      <c r="A79" s="18">
        <v>4</v>
      </c>
      <c r="B79" s="15" t="s">
        <v>413</v>
      </c>
      <c r="C79" s="31" t="s">
        <v>1162</v>
      </c>
      <c r="D79" s="12" t="s">
        <v>133</v>
      </c>
      <c r="E79" s="18" t="s">
        <v>425</v>
      </c>
      <c r="F79" s="12" t="s">
        <v>428</v>
      </c>
      <c r="G79" s="21">
        <v>25797</v>
      </c>
      <c r="H79" s="16">
        <v>36586</v>
      </c>
      <c r="I79" s="18">
        <f t="shared" ca="1" si="9"/>
        <v>24</v>
      </c>
      <c r="J79" s="18">
        <f t="shared" ca="1" si="10"/>
        <v>7</v>
      </c>
      <c r="K79" s="50" t="s">
        <v>910</v>
      </c>
      <c r="L79" s="50"/>
      <c r="M79" s="50"/>
      <c r="N79" s="18" t="s">
        <v>178</v>
      </c>
      <c r="O79" s="16">
        <v>45200</v>
      </c>
      <c r="P79" s="18">
        <v>21</v>
      </c>
      <c r="Q79" s="12">
        <v>7</v>
      </c>
      <c r="R79" s="18" t="s">
        <v>442</v>
      </c>
      <c r="T79" s="18" t="s">
        <v>39</v>
      </c>
      <c r="V79" s="18" t="str">
        <f t="shared" ca="1" si="11"/>
        <v>54 Tahun, 1 Bulan, 21 Hari</v>
      </c>
      <c r="W79" s="60" t="s">
        <v>333</v>
      </c>
      <c r="X79" s="48" t="s">
        <v>336</v>
      </c>
      <c r="Y79" s="21">
        <v>43101</v>
      </c>
      <c r="Z79" s="18"/>
    </row>
    <row r="80" spans="1:26" x14ac:dyDescent="0.35">
      <c r="A80" s="18">
        <v>5</v>
      </c>
      <c r="B80" s="15" t="s">
        <v>414</v>
      </c>
      <c r="C80" s="31" t="s">
        <v>421</v>
      </c>
      <c r="D80" s="12" t="s">
        <v>126</v>
      </c>
      <c r="E80" s="18" t="s">
        <v>132</v>
      </c>
      <c r="F80" s="12" t="s">
        <v>35</v>
      </c>
      <c r="G80" s="21">
        <v>31499</v>
      </c>
      <c r="H80" s="16">
        <v>40148</v>
      </c>
      <c r="I80" s="18">
        <f t="shared" ca="1" si="9"/>
        <v>14</v>
      </c>
      <c r="J80" s="18">
        <f t="shared" ca="1" si="10"/>
        <v>10</v>
      </c>
      <c r="K80" s="50" t="s">
        <v>910</v>
      </c>
      <c r="L80" s="50"/>
      <c r="M80" s="50"/>
      <c r="N80" s="18" t="s">
        <v>178</v>
      </c>
      <c r="O80" s="16">
        <v>45200</v>
      </c>
      <c r="P80" s="18">
        <v>11</v>
      </c>
      <c r="Q80" s="12">
        <v>10</v>
      </c>
      <c r="R80" s="18" t="s">
        <v>443</v>
      </c>
      <c r="T80" s="18" t="s">
        <v>39</v>
      </c>
      <c r="V80" s="18" t="str">
        <f t="shared" ca="1" si="11"/>
        <v>38 Tahun, 6 Bulan, 10 Hari</v>
      </c>
      <c r="W80" s="60" t="s">
        <v>333</v>
      </c>
      <c r="X80" s="48" t="s">
        <v>335</v>
      </c>
      <c r="Y80" s="21">
        <v>43101</v>
      </c>
      <c r="Z80" s="18"/>
    </row>
    <row r="81" spans="1:26" x14ac:dyDescent="0.35">
      <c r="A81" s="18">
        <v>6</v>
      </c>
      <c r="B81" s="15" t="s">
        <v>415</v>
      </c>
      <c r="C81" s="31" t="s">
        <v>422</v>
      </c>
      <c r="D81" s="12" t="s">
        <v>126</v>
      </c>
      <c r="E81" s="18" t="s">
        <v>132</v>
      </c>
      <c r="F81" s="12" t="s">
        <v>171</v>
      </c>
      <c r="G81" s="21">
        <v>27242</v>
      </c>
      <c r="H81" s="16">
        <v>36586</v>
      </c>
      <c r="I81" s="18">
        <f t="shared" ca="1" si="9"/>
        <v>24</v>
      </c>
      <c r="J81" s="18">
        <f t="shared" ca="1" si="10"/>
        <v>7</v>
      </c>
      <c r="K81" s="50" t="s">
        <v>910</v>
      </c>
      <c r="L81" s="50"/>
      <c r="M81" s="50"/>
      <c r="N81" s="18" t="s">
        <v>178</v>
      </c>
      <c r="O81" s="16">
        <v>45200</v>
      </c>
      <c r="P81" s="18">
        <v>21</v>
      </c>
      <c r="Q81" s="12">
        <v>7</v>
      </c>
      <c r="R81" s="18" t="s">
        <v>444</v>
      </c>
      <c r="T81" s="18" t="s">
        <v>220</v>
      </c>
      <c r="V81" s="18" t="str">
        <f t="shared" ca="1" si="11"/>
        <v>50 Tahun, 2 Bulan, 7 Hari</v>
      </c>
      <c r="W81" s="60" t="s">
        <v>333</v>
      </c>
      <c r="X81" s="48" t="s">
        <v>335</v>
      </c>
      <c r="Y81" s="21">
        <v>43405</v>
      </c>
      <c r="Z81" s="18"/>
    </row>
    <row r="82" spans="1:26" x14ac:dyDescent="0.35">
      <c r="A82" s="18">
        <v>7</v>
      </c>
      <c r="B82" s="15" t="s">
        <v>416</v>
      </c>
      <c r="C82" s="31" t="s">
        <v>423</v>
      </c>
      <c r="D82" s="12" t="s">
        <v>133</v>
      </c>
      <c r="E82" s="18" t="s">
        <v>426</v>
      </c>
      <c r="F82" s="12" t="s">
        <v>364</v>
      </c>
      <c r="G82" s="21">
        <v>28659</v>
      </c>
      <c r="H82" s="16">
        <v>38353</v>
      </c>
      <c r="I82" s="18">
        <f t="shared" ca="1" si="9"/>
        <v>19</v>
      </c>
      <c r="J82" s="18">
        <f t="shared" ca="1" si="10"/>
        <v>9</v>
      </c>
      <c r="K82" s="50" t="s">
        <v>910</v>
      </c>
      <c r="L82" s="50"/>
      <c r="M82" s="50"/>
      <c r="N82" s="18" t="s">
        <v>180</v>
      </c>
      <c r="O82" s="16">
        <v>43374</v>
      </c>
      <c r="P82" s="18">
        <v>11</v>
      </c>
      <c r="Q82" s="12">
        <v>9</v>
      </c>
      <c r="R82" s="18" t="s">
        <v>445</v>
      </c>
      <c r="T82" s="18" t="s">
        <v>39</v>
      </c>
      <c r="V82" s="18" t="str">
        <f t="shared" ca="1" si="11"/>
        <v>46 Tahun, 3 Bulan, 20 Hari</v>
      </c>
      <c r="W82" s="60" t="s">
        <v>333</v>
      </c>
      <c r="X82" s="48" t="s">
        <v>1216</v>
      </c>
      <c r="Y82" s="21">
        <v>43101</v>
      </c>
      <c r="Z82" s="18"/>
    </row>
    <row r="83" spans="1:26" x14ac:dyDescent="0.35">
      <c r="A83" s="18">
        <v>8</v>
      </c>
      <c r="B83" s="15" t="s">
        <v>417</v>
      </c>
      <c r="C83" s="31" t="s">
        <v>424</v>
      </c>
      <c r="D83" s="12" t="s">
        <v>126</v>
      </c>
      <c r="E83" s="18" t="s">
        <v>132</v>
      </c>
      <c r="F83" s="12" t="s">
        <v>429</v>
      </c>
      <c r="G83" s="21">
        <v>29370</v>
      </c>
      <c r="H83" s="16">
        <v>40513</v>
      </c>
      <c r="I83" s="18">
        <f t="shared" ca="1" si="9"/>
        <v>13</v>
      </c>
      <c r="J83" s="18">
        <f t="shared" ca="1" si="10"/>
        <v>10</v>
      </c>
      <c r="K83" s="50" t="s">
        <v>910</v>
      </c>
      <c r="L83" s="50"/>
      <c r="M83" s="50"/>
      <c r="N83" s="18" t="s">
        <v>180</v>
      </c>
      <c r="O83" s="16">
        <v>45200</v>
      </c>
      <c r="P83" s="18">
        <v>10</v>
      </c>
      <c r="Q83" s="12">
        <v>10</v>
      </c>
      <c r="R83" s="18" t="s">
        <v>446</v>
      </c>
      <c r="T83" s="18" t="s">
        <v>39</v>
      </c>
      <c r="V83" s="18" t="str">
        <f t="shared" ca="1" si="11"/>
        <v>44 Tahun, 4 Bulan, 9 Hari</v>
      </c>
      <c r="W83" s="60" t="s">
        <v>333</v>
      </c>
      <c r="X83" s="48" t="s">
        <v>337</v>
      </c>
      <c r="Y83" s="21">
        <v>43405</v>
      </c>
      <c r="Z83" s="18"/>
    </row>
    <row r="87" spans="1:26" x14ac:dyDescent="0.35">
      <c r="A87" s="46" t="str">
        <f>A57</f>
        <v>JURUSAN : PERTANIAN</v>
      </c>
      <c r="B87" s="36"/>
      <c r="C87" s="36"/>
      <c r="D87" s="36"/>
    </row>
    <row r="88" spans="1:26" x14ac:dyDescent="0.35">
      <c r="A88" s="36" t="s">
        <v>543</v>
      </c>
    </row>
    <row r="89" spans="1:26" s="13" customFormat="1" ht="17" customHeight="1" x14ac:dyDescent="0.35">
      <c r="A89" s="238" t="s">
        <v>13</v>
      </c>
      <c r="B89" s="277" t="s">
        <v>14</v>
      </c>
      <c r="C89" s="278" t="s">
        <v>19</v>
      </c>
      <c r="D89" s="280" t="s">
        <v>15</v>
      </c>
      <c r="E89" s="238" t="s">
        <v>18</v>
      </c>
      <c r="F89" s="282" t="s">
        <v>16</v>
      </c>
      <c r="G89" s="238" t="s">
        <v>17</v>
      </c>
      <c r="H89" s="283" t="s">
        <v>36</v>
      </c>
      <c r="I89" s="284" t="s">
        <v>30</v>
      </c>
      <c r="J89" s="285"/>
      <c r="K89" s="226" t="s">
        <v>1215</v>
      </c>
      <c r="L89" s="226" t="s">
        <v>1206</v>
      </c>
      <c r="M89" s="295" t="s">
        <v>268</v>
      </c>
      <c r="N89" s="238" t="s">
        <v>20</v>
      </c>
      <c r="O89" s="283" t="s">
        <v>21</v>
      </c>
      <c r="P89" s="297" t="s">
        <v>29</v>
      </c>
      <c r="Q89" s="298"/>
      <c r="R89" s="238" t="s">
        <v>22</v>
      </c>
      <c r="S89" s="282" t="s">
        <v>23</v>
      </c>
      <c r="T89" s="64" t="s">
        <v>31</v>
      </c>
      <c r="U89" s="288" t="s">
        <v>25</v>
      </c>
      <c r="V89" s="238" t="s">
        <v>26</v>
      </c>
      <c r="W89" s="289" t="s">
        <v>258</v>
      </c>
      <c r="X89" s="290"/>
      <c r="Y89" s="293" t="s">
        <v>42</v>
      </c>
      <c r="Z89" s="238" t="s">
        <v>28</v>
      </c>
    </row>
    <row r="90" spans="1:26" s="13" customFormat="1" x14ac:dyDescent="0.35">
      <c r="A90" s="238"/>
      <c r="B90" s="277"/>
      <c r="C90" s="279"/>
      <c r="D90" s="281"/>
      <c r="E90" s="238"/>
      <c r="F90" s="282"/>
      <c r="G90" s="238"/>
      <c r="H90" s="283"/>
      <c r="I90" s="64" t="s">
        <v>3</v>
      </c>
      <c r="J90" s="65" t="s">
        <v>4</v>
      </c>
      <c r="K90" s="227"/>
      <c r="L90" s="227"/>
      <c r="M90" s="296"/>
      <c r="N90" s="238"/>
      <c r="O90" s="282"/>
      <c r="P90" s="64" t="s">
        <v>3</v>
      </c>
      <c r="Q90" s="66" t="s">
        <v>4</v>
      </c>
      <c r="R90" s="238"/>
      <c r="S90" s="282"/>
      <c r="T90" s="64" t="s">
        <v>24</v>
      </c>
      <c r="U90" s="288"/>
      <c r="V90" s="238"/>
      <c r="W90" s="291"/>
      <c r="X90" s="292"/>
      <c r="Y90" s="294"/>
      <c r="Z90" s="238"/>
    </row>
    <row r="91" spans="1:26" s="61" customFormat="1" ht="13.5" thickBot="1" x14ac:dyDescent="0.4">
      <c r="A91" s="41">
        <v>1</v>
      </c>
      <c r="B91" s="42">
        <v>2</v>
      </c>
      <c r="C91" s="43">
        <v>3</v>
      </c>
      <c r="D91" s="44">
        <v>4</v>
      </c>
      <c r="E91" s="41">
        <v>5</v>
      </c>
      <c r="F91" s="44">
        <v>6</v>
      </c>
      <c r="G91" s="41">
        <v>7</v>
      </c>
      <c r="H91" s="45">
        <v>8</v>
      </c>
      <c r="I91" s="41">
        <v>9</v>
      </c>
      <c r="J91" s="41">
        <v>10</v>
      </c>
      <c r="K91" s="41"/>
      <c r="L91" s="41"/>
      <c r="M91" s="41">
        <v>11</v>
      </c>
      <c r="N91" s="42">
        <v>12</v>
      </c>
      <c r="O91" s="41">
        <v>13</v>
      </c>
      <c r="P91" s="42">
        <v>14</v>
      </c>
      <c r="Q91" s="41">
        <v>15</v>
      </c>
      <c r="R91" s="42">
        <v>16</v>
      </c>
      <c r="S91" s="41">
        <v>17</v>
      </c>
      <c r="T91" s="42">
        <v>18</v>
      </c>
      <c r="U91" s="41">
        <v>19</v>
      </c>
      <c r="V91" s="42">
        <v>20</v>
      </c>
      <c r="W91" s="286">
        <v>21</v>
      </c>
      <c r="X91" s="287"/>
      <c r="Y91" s="42">
        <v>22</v>
      </c>
      <c r="Z91" s="41">
        <v>23</v>
      </c>
    </row>
    <row r="92" spans="1:26" ht="16" thickTop="1" x14ac:dyDescent="0.35">
      <c r="A92" s="18">
        <v>1</v>
      </c>
      <c r="B92" s="15" t="s">
        <v>447</v>
      </c>
      <c r="C92" s="34" t="s">
        <v>448</v>
      </c>
      <c r="D92" s="12" t="s">
        <v>133</v>
      </c>
      <c r="E92" s="18" t="s">
        <v>147</v>
      </c>
      <c r="F92" s="12" t="s">
        <v>158</v>
      </c>
      <c r="G92" s="21">
        <v>30212</v>
      </c>
      <c r="H92" s="16">
        <v>41730</v>
      </c>
      <c r="I92" s="18">
        <f ca="1">DATEDIF(H92,$A$5,"Y")</f>
        <v>10</v>
      </c>
      <c r="J92" s="18">
        <f ca="1">DATEDIF(H92,$A$5,"YM")</f>
        <v>6</v>
      </c>
      <c r="K92" s="50" t="s">
        <v>910</v>
      </c>
      <c r="L92" s="50"/>
      <c r="M92" s="49"/>
      <c r="N92" s="18" t="s">
        <v>180</v>
      </c>
      <c r="O92" s="16">
        <v>45200</v>
      </c>
      <c r="P92" s="18">
        <v>7</v>
      </c>
      <c r="Q92" s="12">
        <v>6</v>
      </c>
      <c r="R92" s="18"/>
      <c r="T92" s="18" t="s">
        <v>220</v>
      </c>
      <c r="V92" s="18" t="str">
        <f ca="1">DATEDIF(G92,$A$5,"Y") &amp;" Tahun, "&amp;DATEDIF(G92,$A$5,"YM") &amp;" Bulan, "&amp;DATEDIF(G92,$A$5,"MD") &amp;" Hari"</f>
        <v>42 Tahun, 0 Bulan, 20 Hari</v>
      </c>
      <c r="W92" s="60" t="s">
        <v>333</v>
      </c>
      <c r="X92" s="48" t="s">
        <v>1216</v>
      </c>
      <c r="Y92" s="21">
        <v>44197</v>
      </c>
      <c r="Z92" s="18"/>
    </row>
    <row r="96" spans="1:26" x14ac:dyDescent="0.35">
      <c r="A96" s="46" t="s">
        <v>1147</v>
      </c>
      <c r="B96" s="36"/>
      <c r="C96" s="36"/>
      <c r="D96" s="36"/>
    </row>
    <row r="97" spans="1:26" x14ac:dyDescent="0.35">
      <c r="A97" s="36" t="s">
        <v>449</v>
      </c>
    </row>
    <row r="98" spans="1:26" s="13" customFormat="1" ht="17" customHeight="1" x14ac:dyDescent="0.35">
      <c r="A98" s="234" t="s">
        <v>13</v>
      </c>
      <c r="B98" s="272" t="s">
        <v>14</v>
      </c>
      <c r="C98" s="273" t="s">
        <v>19</v>
      </c>
      <c r="D98" s="275" t="s">
        <v>15</v>
      </c>
      <c r="E98" s="234" t="s">
        <v>18</v>
      </c>
      <c r="F98" s="235" t="s">
        <v>16</v>
      </c>
      <c r="G98" s="234" t="s">
        <v>17</v>
      </c>
      <c r="H98" s="265" t="s">
        <v>36</v>
      </c>
      <c r="I98" s="266" t="s">
        <v>30</v>
      </c>
      <c r="J98" s="267"/>
      <c r="K98" s="228" t="s">
        <v>1215</v>
      </c>
      <c r="L98" s="228" t="s">
        <v>1206</v>
      </c>
      <c r="M98" s="268" t="s">
        <v>268</v>
      </c>
      <c r="N98" s="234" t="s">
        <v>20</v>
      </c>
      <c r="O98" s="265" t="s">
        <v>21</v>
      </c>
      <c r="P98" s="270" t="s">
        <v>29</v>
      </c>
      <c r="Q98" s="271"/>
      <c r="R98" s="234" t="s">
        <v>22</v>
      </c>
      <c r="S98" s="235" t="s">
        <v>23</v>
      </c>
      <c r="T98" s="67" t="s">
        <v>31</v>
      </c>
      <c r="U98" s="260" t="s">
        <v>25</v>
      </c>
      <c r="V98" s="234" t="s">
        <v>26</v>
      </c>
      <c r="W98" s="261" t="s">
        <v>258</v>
      </c>
      <c r="X98" s="262"/>
      <c r="Y98" s="239" t="s">
        <v>42</v>
      </c>
      <c r="Z98" s="234" t="s">
        <v>28</v>
      </c>
    </row>
    <row r="99" spans="1:26" s="13" customFormat="1" x14ac:dyDescent="0.35">
      <c r="A99" s="234"/>
      <c r="B99" s="272"/>
      <c r="C99" s="274"/>
      <c r="D99" s="276"/>
      <c r="E99" s="234"/>
      <c r="F99" s="235"/>
      <c r="G99" s="234"/>
      <c r="H99" s="265"/>
      <c r="I99" s="67" t="s">
        <v>3</v>
      </c>
      <c r="J99" s="68" t="s">
        <v>4</v>
      </c>
      <c r="K99" s="229"/>
      <c r="L99" s="229"/>
      <c r="M99" s="269"/>
      <c r="N99" s="234"/>
      <c r="O99" s="235"/>
      <c r="P99" s="67" t="s">
        <v>3</v>
      </c>
      <c r="Q99" s="69" t="s">
        <v>4</v>
      </c>
      <c r="R99" s="234"/>
      <c r="S99" s="235"/>
      <c r="T99" s="67" t="s">
        <v>24</v>
      </c>
      <c r="U99" s="260"/>
      <c r="V99" s="234"/>
      <c r="W99" s="263"/>
      <c r="X99" s="264"/>
      <c r="Y99" s="240"/>
      <c r="Z99" s="234"/>
    </row>
    <row r="100" spans="1:26" s="61" customFormat="1" ht="13.5" thickBot="1" x14ac:dyDescent="0.4">
      <c r="A100" s="70">
        <v>1</v>
      </c>
      <c r="B100" s="71">
        <v>2</v>
      </c>
      <c r="C100" s="72">
        <v>3</v>
      </c>
      <c r="D100" s="73">
        <v>4</v>
      </c>
      <c r="E100" s="70">
        <v>5</v>
      </c>
      <c r="F100" s="73">
        <v>6</v>
      </c>
      <c r="G100" s="70">
        <v>7</v>
      </c>
      <c r="H100" s="74">
        <v>8</v>
      </c>
      <c r="I100" s="70">
        <v>9</v>
      </c>
      <c r="J100" s="70">
        <v>10</v>
      </c>
      <c r="K100" s="70"/>
      <c r="L100" s="70"/>
      <c r="M100" s="70">
        <v>11</v>
      </c>
      <c r="N100" s="71">
        <v>12</v>
      </c>
      <c r="O100" s="70">
        <v>13</v>
      </c>
      <c r="P100" s="71">
        <v>14</v>
      </c>
      <c r="Q100" s="70">
        <v>15</v>
      </c>
      <c r="R100" s="71">
        <v>16</v>
      </c>
      <c r="S100" s="70">
        <v>17</v>
      </c>
      <c r="T100" s="71">
        <v>18</v>
      </c>
      <c r="U100" s="70">
        <v>19</v>
      </c>
      <c r="V100" s="71">
        <v>20</v>
      </c>
      <c r="W100" s="258">
        <v>21</v>
      </c>
      <c r="X100" s="259"/>
      <c r="Y100" s="71">
        <v>22</v>
      </c>
      <c r="Z100" s="70">
        <v>23</v>
      </c>
    </row>
    <row r="101" spans="1:26" ht="16" thickTop="1" x14ac:dyDescent="0.35">
      <c r="A101" s="18">
        <v>1</v>
      </c>
      <c r="B101" s="15" t="s">
        <v>450</v>
      </c>
      <c r="C101" s="34" t="s">
        <v>453</v>
      </c>
      <c r="D101" s="12" t="s">
        <v>126</v>
      </c>
      <c r="E101" s="18" t="s">
        <v>456</v>
      </c>
      <c r="F101" s="12" t="s">
        <v>35</v>
      </c>
      <c r="G101" s="21">
        <v>28775</v>
      </c>
      <c r="H101" s="16">
        <v>40148</v>
      </c>
      <c r="I101" s="18">
        <f ca="1">DATEDIF(H101,$A$5,"Y")</f>
        <v>14</v>
      </c>
      <c r="J101" s="18">
        <f ca="1">DATEDIF(H101,$A$5,"YM")</f>
        <v>10</v>
      </c>
      <c r="K101" s="50" t="s">
        <v>910</v>
      </c>
      <c r="L101" s="50"/>
      <c r="M101" s="49"/>
      <c r="N101" s="18" t="s">
        <v>180</v>
      </c>
      <c r="O101" s="16">
        <v>43009</v>
      </c>
      <c r="P101" s="18">
        <v>7</v>
      </c>
      <c r="Q101" s="12">
        <v>10</v>
      </c>
      <c r="R101" s="18" t="s">
        <v>460</v>
      </c>
      <c r="T101" s="18" t="s">
        <v>39</v>
      </c>
      <c r="V101" s="18" t="str">
        <f ca="1">DATEDIF(G101,$A$5,"Y") &amp;" Tahun, "&amp;DATEDIF(G101,$A$5,"YM") &amp;" Bulan, "&amp;DATEDIF(G101,$A$5,"MD") &amp;" Hari"</f>
        <v>45 Tahun, 11 Bulan, 26 Hari</v>
      </c>
      <c r="W101" s="60" t="s">
        <v>333</v>
      </c>
      <c r="X101" s="48" t="s">
        <v>337</v>
      </c>
      <c r="Y101" s="21">
        <v>42491</v>
      </c>
      <c r="Z101" s="18"/>
    </row>
    <row r="102" spans="1:26" x14ac:dyDescent="0.35">
      <c r="A102" s="18">
        <v>2</v>
      </c>
      <c r="B102" s="15" t="s">
        <v>452</v>
      </c>
      <c r="C102" s="31" t="s">
        <v>454</v>
      </c>
      <c r="D102" s="12" t="s">
        <v>133</v>
      </c>
      <c r="E102" s="18" t="s">
        <v>457</v>
      </c>
      <c r="F102" s="12" t="s">
        <v>459</v>
      </c>
      <c r="G102" s="21">
        <v>31747</v>
      </c>
      <c r="H102" s="16">
        <v>40148</v>
      </c>
      <c r="I102" s="18">
        <f ca="1">DATEDIF(H102,$A$5,"Y")</f>
        <v>14</v>
      </c>
      <c r="J102" s="18">
        <f ca="1">DATEDIF(H102,$A$5,"YM")</f>
        <v>10</v>
      </c>
      <c r="K102" s="50" t="s">
        <v>910</v>
      </c>
      <c r="L102" s="50"/>
      <c r="M102" s="50"/>
      <c r="N102" s="18" t="s">
        <v>180</v>
      </c>
      <c r="O102" s="16">
        <v>45200</v>
      </c>
      <c r="P102" s="18">
        <v>11</v>
      </c>
      <c r="Q102" s="12">
        <v>10</v>
      </c>
      <c r="R102" s="18" t="s">
        <v>461</v>
      </c>
      <c r="T102" s="18" t="s">
        <v>220</v>
      </c>
      <c r="V102" s="18" t="str">
        <f ca="1">DATEDIF(G102,$A$5,"Y") &amp;" Tahun, "&amp;DATEDIF(G102,$A$5,"YM") &amp;" Bulan, "&amp;DATEDIF(G102,$A$5,"MD") &amp;" Hari"</f>
        <v>37 Tahun, 10 Bulan, 7 Hari</v>
      </c>
      <c r="W102" s="60" t="s">
        <v>333</v>
      </c>
      <c r="X102" s="48" t="s">
        <v>1216</v>
      </c>
      <c r="Y102" s="21">
        <v>43831</v>
      </c>
      <c r="Z102" s="18"/>
    </row>
    <row r="103" spans="1:26" x14ac:dyDescent="0.35">
      <c r="A103" s="18">
        <v>3</v>
      </c>
      <c r="B103" s="15" t="s">
        <v>451</v>
      </c>
      <c r="C103" s="31" t="s">
        <v>455</v>
      </c>
      <c r="D103" s="12" t="s">
        <v>126</v>
      </c>
      <c r="E103" s="18" t="s">
        <v>458</v>
      </c>
      <c r="F103" s="12" t="s">
        <v>151</v>
      </c>
      <c r="G103" s="21">
        <v>35101</v>
      </c>
      <c r="H103" s="16">
        <v>43525</v>
      </c>
      <c r="I103" s="18">
        <f ca="1">DATEDIF(H103,$A$5,"Y")</f>
        <v>5</v>
      </c>
      <c r="J103" s="18">
        <f ca="1">DATEDIF(H103,$A$5,"YM")</f>
        <v>7</v>
      </c>
      <c r="K103" s="50" t="s">
        <v>910</v>
      </c>
      <c r="L103" s="50"/>
      <c r="M103" s="50"/>
      <c r="N103" s="18" t="s">
        <v>181</v>
      </c>
      <c r="O103" s="16">
        <v>44197</v>
      </c>
      <c r="P103" s="18">
        <v>1</v>
      </c>
      <c r="Q103" s="12">
        <v>10</v>
      </c>
      <c r="R103" s="18" t="s">
        <v>462</v>
      </c>
      <c r="T103" s="18" t="s">
        <v>39</v>
      </c>
      <c r="V103" s="18" t="str">
        <f ca="1">DATEDIF(G103,$A$5,"Y") &amp;" Tahun, "&amp;DATEDIF(G103,$A$5,"YM") &amp;" Bulan, "&amp;DATEDIF(G103,$A$5,"MD") &amp;" Hari"</f>
        <v>28 Tahun, 8 Bulan, 2 Hari</v>
      </c>
      <c r="W103" s="60" t="s">
        <v>333</v>
      </c>
      <c r="X103" s="48" t="s">
        <v>337</v>
      </c>
      <c r="Y103" s="21">
        <v>44804</v>
      </c>
      <c r="Z103" s="18"/>
    </row>
    <row r="107" spans="1:26" x14ac:dyDescent="0.35">
      <c r="A107" s="46" t="str">
        <f>A96</f>
        <v>JURUSAN : REKAYASA DAN KOMPUTER</v>
      </c>
      <c r="B107" s="36"/>
      <c r="C107" s="36"/>
      <c r="D107" s="36"/>
    </row>
    <row r="108" spans="1:26" x14ac:dyDescent="0.35">
      <c r="A108" s="36" t="s">
        <v>463</v>
      </c>
    </row>
    <row r="109" spans="1:26" s="13" customFormat="1" ht="17" customHeight="1" x14ac:dyDescent="0.35">
      <c r="A109" s="234" t="s">
        <v>13</v>
      </c>
      <c r="B109" s="272" t="s">
        <v>14</v>
      </c>
      <c r="C109" s="273" t="s">
        <v>19</v>
      </c>
      <c r="D109" s="275" t="s">
        <v>15</v>
      </c>
      <c r="E109" s="234" t="s">
        <v>18</v>
      </c>
      <c r="F109" s="235" t="s">
        <v>16</v>
      </c>
      <c r="G109" s="234" t="s">
        <v>17</v>
      </c>
      <c r="H109" s="265" t="s">
        <v>36</v>
      </c>
      <c r="I109" s="266" t="s">
        <v>30</v>
      </c>
      <c r="J109" s="267"/>
      <c r="K109" s="228" t="s">
        <v>1215</v>
      </c>
      <c r="L109" s="228" t="s">
        <v>1206</v>
      </c>
      <c r="M109" s="268" t="s">
        <v>268</v>
      </c>
      <c r="N109" s="234" t="s">
        <v>20</v>
      </c>
      <c r="O109" s="265" t="s">
        <v>21</v>
      </c>
      <c r="P109" s="270" t="s">
        <v>29</v>
      </c>
      <c r="Q109" s="271"/>
      <c r="R109" s="234" t="s">
        <v>22</v>
      </c>
      <c r="S109" s="235" t="s">
        <v>23</v>
      </c>
      <c r="T109" s="67" t="s">
        <v>31</v>
      </c>
      <c r="U109" s="260" t="s">
        <v>25</v>
      </c>
      <c r="V109" s="234" t="s">
        <v>26</v>
      </c>
      <c r="W109" s="261" t="s">
        <v>258</v>
      </c>
      <c r="X109" s="262"/>
      <c r="Y109" s="239" t="s">
        <v>42</v>
      </c>
      <c r="Z109" s="234" t="s">
        <v>28</v>
      </c>
    </row>
    <row r="110" spans="1:26" s="13" customFormat="1" x14ac:dyDescent="0.35">
      <c r="A110" s="234"/>
      <c r="B110" s="272"/>
      <c r="C110" s="274"/>
      <c r="D110" s="276"/>
      <c r="E110" s="234"/>
      <c r="F110" s="235"/>
      <c r="G110" s="234"/>
      <c r="H110" s="265"/>
      <c r="I110" s="67" t="s">
        <v>3</v>
      </c>
      <c r="J110" s="68" t="s">
        <v>4</v>
      </c>
      <c r="K110" s="229"/>
      <c r="L110" s="229"/>
      <c r="M110" s="269"/>
      <c r="N110" s="234"/>
      <c r="O110" s="235"/>
      <c r="P110" s="67" t="s">
        <v>3</v>
      </c>
      <c r="Q110" s="69" t="s">
        <v>4</v>
      </c>
      <c r="R110" s="234"/>
      <c r="S110" s="235"/>
      <c r="T110" s="67" t="s">
        <v>24</v>
      </c>
      <c r="U110" s="260"/>
      <c r="V110" s="234"/>
      <c r="W110" s="263"/>
      <c r="X110" s="264"/>
      <c r="Y110" s="240"/>
      <c r="Z110" s="234"/>
    </row>
    <row r="111" spans="1:26" s="61" customFormat="1" ht="13.5" thickBot="1" x14ac:dyDescent="0.4">
      <c r="A111" s="70">
        <v>1</v>
      </c>
      <c r="B111" s="71">
        <v>2</v>
      </c>
      <c r="C111" s="72">
        <v>3</v>
      </c>
      <c r="D111" s="73">
        <v>4</v>
      </c>
      <c r="E111" s="70">
        <v>5</v>
      </c>
      <c r="F111" s="73">
        <v>6</v>
      </c>
      <c r="G111" s="70">
        <v>7</v>
      </c>
      <c r="H111" s="74">
        <v>8</v>
      </c>
      <c r="I111" s="70">
        <v>9</v>
      </c>
      <c r="J111" s="70">
        <v>10</v>
      </c>
      <c r="K111" s="70"/>
      <c r="L111" s="70"/>
      <c r="M111" s="70">
        <v>11</v>
      </c>
      <c r="N111" s="71">
        <v>12</v>
      </c>
      <c r="O111" s="70">
        <v>13</v>
      </c>
      <c r="P111" s="71">
        <v>14</v>
      </c>
      <c r="Q111" s="70">
        <v>15</v>
      </c>
      <c r="R111" s="71">
        <v>16</v>
      </c>
      <c r="S111" s="70">
        <v>17</v>
      </c>
      <c r="T111" s="71">
        <v>18</v>
      </c>
      <c r="U111" s="70">
        <v>19</v>
      </c>
      <c r="V111" s="71">
        <v>20</v>
      </c>
      <c r="W111" s="258">
        <v>21</v>
      </c>
      <c r="X111" s="259"/>
      <c r="Y111" s="71">
        <v>22</v>
      </c>
      <c r="Z111" s="70">
        <v>23</v>
      </c>
    </row>
    <row r="112" spans="1:26" ht="16" thickTop="1" x14ac:dyDescent="0.35">
      <c r="A112" s="18">
        <v>1</v>
      </c>
      <c r="B112" s="15" t="s">
        <v>464</v>
      </c>
      <c r="C112" s="34" t="s">
        <v>466</v>
      </c>
      <c r="D112" s="12" t="s">
        <v>126</v>
      </c>
      <c r="E112" s="18" t="s">
        <v>468</v>
      </c>
      <c r="F112" s="12" t="s">
        <v>35</v>
      </c>
      <c r="G112" s="21">
        <v>33571</v>
      </c>
      <c r="H112" s="16">
        <v>43525</v>
      </c>
      <c r="I112" s="18">
        <f ca="1">DATEDIF(H112,$A$5,"Y")</f>
        <v>5</v>
      </c>
      <c r="J112" s="18">
        <f ca="1">DATEDIF(H112,$A$5,"YM")</f>
        <v>7</v>
      </c>
      <c r="K112" s="50" t="s">
        <v>910</v>
      </c>
      <c r="L112" s="50"/>
      <c r="M112" s="49"/>
      <c r="N112" s="18" t="s">
        <v>181</v>
      </c>
      <c r="O112" s="16">
        <v>44197</v>
      </c>
      <c r="P112" s="18">
        <v>1</v>
      </c>
      <c r="Q112" s="12">
        <v>10</v>
      </c>
      <c r="R112" s="18" t="s">
        <v>471</v>
      </c>
      <c r="T112" s="18" t="s">
        <v>220</v>
      </c>
      <c r="V112" s="18" t="str">
        <f ca="1">DATEDIF(G112,$A$5,"Y") &amp;" Tahun, "&amp;DATEDIF(G112,$A$5,"YM") &amp;" Bulan, "&amp;DATEDIF(G112,$A$5,"MD") &amp;" Hari"</f>
        <v>32 Tahun, 10 Bulan, 9 Hari</v>
      </c>
      <c r="W112" s="60" t="s">
        <v>333</v>
      </c>
      <c r="X112" s="48" t="s">
        <v>337</v>
      </c>
      <c r="Y112" s="21"/>
      <c r="Z112" s="18"/>
    </row>
    <row r="113" spans="1:26" x14ac:dyDescent="0.35">
      <c r="A113" s="18">
        <v>2</v>
      </c>
      <c r="B113" s="15" t="s">
        <v>465</v>
      </c>
      <c r="C113" s="31" t="s">
        <v>467</v>
      </c>
      <c r="D113" s="12" t="s">
        <v>133</v>
      </c>
      <c r="E113" s="18" t="s">
        <v>469</v>
      </c>
      <c r="F113" s="12" t="s">
        <v>470</v>
      </c>
      <c r="G113" s="21">
        <v>31548</v>
      </c>
      <c r="H113" s="16">
        <v>40148</v>
      </c>
      <c r="I113" s="18">
        <f ca="1">DATEDIF(H113,$A$5,"Y")</f>
        <v>14</v>
      </c>
      <c r="J113" s="18">
        <f ca="1">DATEDIF(H113,$A$5,"YM")</f>
        <v>10</v>
      </c>
      <c r="K113" s="50" t="s">
        <v>910</v>
      </c>
      <c r="L113" s="50"/>
      <c r="M113" s="50"/>
      <c r="N113" s="18" t="s">
        <v>180</v>
      </c>
      <c r="O113" s="16">
        <v>45200</v>
      </c>
      <c r="P113" s="18">
        <v>11</v>
      </c>
      <c r="Q113" s="12">
        <v>10</v>
      </c>
      <c r="R113" s="18" t="s">
        <v>472</v>
      </c>
      <c r="T113" s="18" t="s">
        <v>220</v>
      </c>
      <c r="V113" s="18" t="str">
        <f ca="1">DATEDIF(G113,$A$5,"Y") &amp;" Tahun, "&amp;DATEDIF(G113,$A$5,"YM") &amp;" Bulan, "&amp;DATEDIF(G113,$A$5,"MD") &amp;" Hari"</f>
        <v>38 Tahun, 4 Bulan, 22 Hari</v>
      </c>
      <c r="W113" s="60" t="s">
        <v>333</v>
      </c>
      <c r="X113" s="48" t="s">
        <v>1216</v>
      </c>
      <c r="Y113" s="21">
        <v>41640</v>
      </c>
      <c r="Z113" s="18"/>
    </row>
  </sheetData>
  <mergeCells count="188">
    <mergeCell ref="E28:E29"/>
    <mergeCell ref="F28:F29"/>
    <mergeCell ref="G28:G29"/>
    <mergeCell ref="H28:H29"/>
    <mergeCell ref="I28:J28"/>
    <mergeCell ref="N28:N29"/>
    <mergeCell ref="Y48:Y49"/>
    <mergeCell ref="Z48:Z49"/>
    <mergeCell ref="A1:D1"/>
    <mergeCell ref="A4:B4"/>
    <mergeCell ref="A5:D5"/>
    <mergeCell ref="A28:A29"/>
    <mergeCell ref="B28:B29"/>
    <mergeCell ref="C28:C29"/>
    <mergeCell ref="D28:D29"/>
    <mergeCell ref="C48:C49"/>
    <mergeCell ref="D48:D49"/>
    <mergeCell ref="W30:X30"/>
    <mergeCell ref="Y28:Y29"/>
    <mergeCell ref="Z28:Z29"/>
    <mergeCell ref="M28:M29"/>
    <mergeCell ref="W28:X29"/>
    <mergeCell ref="O28:O29"/>
    <mergeCell ref="P28:Q28"/>
    <mergeCell ref="R28:R29"/>
    <mergeCell ref="S28:S29"/>
    <mergeCell ref="U28:U29"/>
    <mergeCell ref="V28:V29"/>
    <mergeCell ref="W50:X50"/>
    <mergeCell ref="A59:A60"/>
    <mergeCell ref="B59:B60"/>
    <mergeCell ref="C59:C60"/>
    <mergeCell ref="D59:D60"/>
    <mergeCell ref="E59:E60"/>
    <mergeCell ref="F59:F60"/>
    <mergeCell ref="G59:G60"/>
    <mergeCell ref="P48:Q48"/>
    <mergeCell ref="R48:R49"/>
    <mergeCell ref="S48:S49"/>
    <mergeCell ref="U48:U49"/>
    <mergeCell ref="V48:V49"/>
    <mergeCell ref="W48:X49"/>
    <mergeCell ref="G48:G49"/>
    <mergeCell ref="H48:H49"/>
    <mergeCell ref="I48:J48"/>
    <mergeCell ref="M48:M49"/>
    <mergeCell ref="N48:N49"/>
    <mergeCell ref="O48:O49"/>
    <mergeCell ref="R59:R60"/>
    <mergeCell ref="S59:S60"/>
    <mergeCell ref="H59:H60"/>
    <mergeCell ref="I59:J59"/>
    <mergeCell ref="M59:M60"/>
    <mergeCell ref="N59:N60"/>
    <mergeCell ref="O59:O60"/>
    <mergeCell ref="P59:Q59"/>
    <mergeCell ref="S73:S74"/>
    <mergeCell ref="I73:J73"/>
    <mergeCell ref="M73:M74"/>
    <mergeCell ref="N73:N74"/>
    <mergeCell ref="O73:O74"/>
    <mergeCell ref="P73:Q73"/>
    <mergeCell ref="R73:R74"/>
    <mergeCell ref="Z59:Z60"/>
    <mergeCell ref="W61:X61"/>
    <mergeCell ref="U59:U60"/>
    <mergeCell ref="V59:V60"/>
    <mergeCell ref="W59:X60"/>
    <mergeCell ref="Y59:Y60"/>
    <mergeCell ref="U73:U74"/>
    <mergeCell ref="V73:V74"/>
    <mergeCell ref="W73:X74"/>
    <mergeCell ref="Y73:Y74"/>
    <mergeCell ref="Z73:Z74"/>
    <mergeCell ref="Y89:Y90"/>
    <mergeCell ref="Z89:Z90"/>
    <mergeCell ref="W91:X91"/>
    <mergeCell ref="B73:B74"/>
    <mergeCell ref="C73:C74"/>
    <mergeCell ref="D73:D74"/>
    <mergeCell ref="E73:E74"/>
    <mergeCell ref="F73:F74"/>
    <mergeCell ref="G73:G74"/>
    <mergeCell ref="H73:H74"/>
    <mergeCell ref="M89:M90"/>
    <mergeCell ref="N89:N90"/>
    <mergeCell ref="O89:O90"/>
    <mergeCell ref="P89:Q89"/>
    <mergeCell ref="R89:R90"/>
    <mergeCell ref="S89:S90"/>
    <mergeCell ref="B89:B90"/>
    <mergeCell ref="C89:C90"/>
    <mergeCell ref="D89:D90"/>
    <mergeCell ref="E89:E90"/>
    <mergeCell ref="F89:F90"/>
    <mergeCell ref="G89:G90"/>
    <mergeCell ref="H89:H90"/>
    <mergeCell ref="I89:J89"/>
    <mergeCell ref="W75:X75"/>
    <mergeCell ref="U89:U90"/>
    <mergeCell ref="V89:V90"/>
    <mergeCell ref="W89:X90"/>
    <mergeCell ref="W100:X100"/>
    <mergeCell ref="A109:A110"/>
    <mergeCell ref="B109:B110"/>
    <mergeCell ref="C109:C110"/>
    <mergeCell ref="D109:D110"/>
    <mergeCell ref="E109:E110"/>
    <mergeCell ref="F109:F110"/>
    <mergeCell ref="G109:G110"/>
    <mergeCell ref="P98:Q98"/>
    <mergeCell ref="R98:R99"/>
    <mergeCell ref="S98:S99"/>
    <mergeCell ref="U98:U99"/>
    <mergeCell ref="V98:V99"/>
    <mergeCell ref="W98:X99"/>
    <mergeCell ref="G98:G99"/>
    <mergeCell ref="H98:H99"/>
    <mergeCell ref="I98:J98"/>
    <mergeCell ref="M98:M99"/>
    <mergeCell ref="N98:N99"/>
    <mergeCell ref="O98:O99"/>
    <mergeCell ref="A98:A99"/>
    <mergeCell ref="B98:B99"/>
    <mergeCell ref="C98:C99"/>
    <mergeCell ref="D98:D99"/>
    <mergeCell ref="Z109:Z110"/>
    <mergeCell ref="W111:X111"/>
    <mergeCell ref="R109:R110"/>
    <mergeCell ref="S109:S110"/>
    <mergeCell ref="U109:U110"/>
    <mergeCell ref="V109:V110"/>
    <mergeCell ref="W109:X110"/>
    <mergeCell ref="Y109:Y110"/>
    <mergeCell ref="H109:H110"/>
    <mergeCell ref="I109:J109"/>
    <mergeCell ref="M109:M110"/>
    <mergeCell ref="N109:N110"/>
    <mergeCell ref="O109:O110"/>
    <mergeCell ref="P109:Q109"/>
    <mergeCell ref="Y98:Y99"/>
    <mergeCell ref="Z98:Z99"/>
    <mergeCell ref="Y9:Y10"/>
    <mergeCell ref="Z9:Z10"/>
    <mergeCell ref="W11:X11"/>
    <mergeCell ref="A9:A10"/>
    <mergeCell ref="B9:B10"/>
    <mergeCell ref="C9:C10"/>
    <mergeCell ref="D9:D10"/>
    <mergeCell ref="E9:E10"/>
    <mergeCell ref="F9:F10"/>
    <mergeCell ref="G9:G10"/>
    <mergeCell ref="I9:J9"/>
    <mergeCell ref="M9:M10"/>
    <mergeCell ref="N9:N10"/>
    <mergeCell ref="O9:O10"/>
    <mergeCell ref="P9:Q9"/>
    <mergeCell ref="R9:R10"/>
    <mergeCell ref="S9:S10"/>
    <mergeCell ref="U9:U10"/>
    <mergeCell ref="V9:V10"/>
    <mergeCell ref="W9:X10"/>
    <mergeCell ref="K9:K10"/>
    <mergeCell ref="A89:A90"/>
    <mergeCell ref="A3:C3"/>
    <mergeCell ref="L9:L10"/>
    <mergeCell ref="L28:L29"/>
    <mergeCell ref="L59:L60"/>
    <mergeCell ref="L73:L74"/>
    <mergeCell ref="L89:L90"/>
    <mergeCell ref="L98:L99"/>
    <mergeCell ref="L109:L110"/>
    <mergeCell ref="K28:K29"/>
    <mergeCell ref="K48:K49"/>
    <mergeCell ref="K59:K60"/>
    <mergeCell ref="K73:K74"/>
    <mergeCell ref="K89:K90"/>
    <mergeCell ref="K98:K99"/>
    <mergeCell ref="K109:K110"/>
    <mergeCell ref="L48:L49"/>
    <mergeCell ref="H9:H10"/>
    <mergeCell ref="A48:A49"/>
    <mergeCell ref="E98:E99"/>
    <mergeCell ref="F98:F99"/>
    <mergeCell ref="B48:B49"/>
    <mergeCell ref="E48:E49"/>
    <mergeCell ref="F48:F49"/>
    <mergeCell ref="A73:A74"/>
  </mergeCells>
  <phoneticPr fontId="13" type="noConversion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AB222-2F25-5041-9B43-7CD47495ABD1}">
  <sheetPr>
    <tabColor theme="4" tint="0.39997558519241921"/>
    <pageSetUpPr fitToPage="1"/>
  </sheetPr>
  <dimension ref="A1:AA240"/>
  <sheetViews>
    <sheetView tabSelected="1" topLeftCell="A227" zoomScaleNormal="100" workbookViewId="0">
      <selection activeCell="V240" sqref="V240"/>
    </sheetView>
  </sheetViews>
  <sheetFormatPr defaultColWidth="10.83203125" defaultRowHeight="15.5" x14ac:dyDescent="0.35"/>
  <cols>
    <col min="1" max="1" width="5" style="12" customWidth="1"/>
    <col min="2" max="2" width="41" style="15" bestFit="1" customWidth="1"/>
    <col min="3" max="3" width="19.33203125" style="33" bestFit="1" customWidth="1"/>
    <col min="4" max="4" width="11.83203125" style="12" bestFit="1" customWidth="1"/>
    <col min="5" max="5" width="40.5" style="12" hidden="1" customWidth="1"/>
    <col min="6" max="6" width="18.1640625" style="12" hidden="1" customWidth="1"/>
    <col min="7" max="7" width="14.83203125" style="12" hidden="1" customWidth="1"/>
    <col min="8" max="8" width="22.5" style="12" hidden="1" customWidth="1"/>
    <col min="9" max="9" width="7.33203125" style="12" hidden="1" customWidth="1"/>
    <col min="10" max="10" width="7" style="12" hidden="1" customWidth="1"/>
    <col min="11" max="11" width="6.83203125" style="12" hidden="1" customWidth="1"/>
    <col min="12" max="12" width="16.33203125" style="12" hidden="1" customWidth="1"/>
    <col min="13" max="13" width="11.1640625" style="12" bestFit="1" customWidth="1"/>
    <col min="14" max="14" width="15.33203125" style="81" hidden="1" customWidth="1"/>
    <col min="15" max="15" width="7.33203125" style="12" hidden="1" customWidth="1"/>
    <col min="16" max="16" width="7" style="12" hidden="1" customWidth="1"/>
    <col min="17" max="17" width="10.83203125" style="12" hidden="1" customWidth="1"/>
    <col min="18" max="18" width="6.33203125" style="12" hidden="1" customWidth="1"/>
    <col min="19" max="19" width="13.83203125" style="12" hidden="1" customWidth="1"/>
    <col min="20" max="20" width="7.6640625" style="12" hidden="1" customWidth="1"/>
    <col min="21" max="21" width="24" style="12" hidden="1" customWidth="1"/>
    <col min="22" max="22" width="21.1640625" style="81" bestFit="1" customWidth="1"/>
    <col min="23" max="23" width="14.1640625" style="81" bestFit="1" customWidth="1"/>
    <col min="24" max="24" width="17" style="81" bestFit="1" customWidth="1"/>
    <col min="25" max="25" width="55.6640625" style="12" bestFit="1" customWidth="1"/>
    <col min="26" max="27" width="15" style="12" bestFit="1" customWidth="1"/>
    <col min="28" max="16384" width="10.83203125" style="15"/>
  </cols>
  <sheetData>
    <row r="1" spans="1:27" ht="26" x14ac:dyDescent="0.35">
      <c r="A1" s="191" t="s">
        <v>44</v>
      </c>
      <c r="B1" s="191"/>
      <c r="C1" s="191"/>
      <c r="D1" s="191"/>
    </row>
    <row r="3" spans="1:27" ht="21" x14ac:dyDescent="0.35">
      <c r="A3" s="316" t="s">
        <v>473</v>
      </c>
      <c r="B3" s="316"/>
      <c r="C3" s="59"/>
      <c r="D3" s="15"/>
    </row>
    <row r="4" spans="1:27" x14ac:dyDescent="0.35">
      <c r="A4" s="183" t="str">
        <f>Administrasi!A4</f>
        <v>KEADAAN : APRIL 2024</v>
      </c>
      <c r="B4" s="183"/>
      <c r="C4" s="29"/>
      <c r="D4" s="13"/>
    </row>
    <row r="5" spans="1:27" x14ac:dyDescent="0.35">
      <c r="A5" s="195">
        <f ca="1">NOW()</f>
        <v>45573.481386574073</v>
      </c>
      <c r="B5" s="183"/>
      <c r="C5" s="183"/>
      <c r="D5" s="183"/>
    </row>
    <row r="6" spans="1:27" x14ac:dyDescent="0.35">
      <c r="A6" s="37"/>
      <c r="B6" s="36"/>
      <c r="C6" s="36"/>
      <c r="D6" s="36"/>
    </row>
    <row r="7" spans="1:27" x14ac:dyDescent="0.35">
      <c r="A7" s="46" t="s">
        <v>262</v>
      </c>
      <c r="B7" s="36"/>
      <c r="C7" s="36"/>
      <c r="D7" s="36"/>
    </row>
    <row r="8" spans="1:27" x14ac:dyDescent="0.35">
      <c r="A8" s="36" t="s">
        <v>338</v>
      </c>
    </row>
    <row r="9" spans="1:27" s="13" customFormat="1" ht="17" customHeight="1" x14ac:dyDescent="0.35">
      <c r="A9" s="233" t="s">
        <v>13</v>
      </c>
      <c r="B9" s="236" t="s">
        <v>14</v>
      </c>
      <c r="C9" s="245" t="s">
        <v>19</v>
      </c>
      <c r="D9" s="247" t="s">
        <v>15</v>
      </c>
      <c r="E9" s="233" t="s">
        <v>18</v>
      </c>
      <c r="F9" s="237" t="s">
        <v>16</v>
      </c>
      <c r="G9" s="233" t="s">
        <v>17</v>
      </c>
      <c r="H9" s="232" t="s">
        <v>36</v>
      </c>
      <c r="I9" s="249" t="s">
        <v>30</v>
      </c>
      <c r="J9" s="250"/>
      <c r="K9" s="224" t="s">
        <v>1215</v>
      </c>
      <c r="L9" s="230" t="s">
        <v>268</v>
      </c>
      <c r="M9" s="233" t="s">
        <v>20</v>
      </c>
      <c r="N9" s="311" t="s">
        <v>21</v>
      </c>
      <c r="O9" s="251" t="s">
        <v>29</v>
      </c>
      <c r="P9" s="252"/>
      <c r="Q9" s="233" t="s">
        <v>22</v>
      </c>
      <c r="R9" s="237" t="s">
        <v>23</v>
      </c>
      <c r="S9" s="51" t="s">
        <v>31</v>
      </c>
      <c r="T9" s="253" t="s">
        <v>25</v>
      </c>
      <c r="U9" s="233" t="s">
        <v>26</v>
      </c>
      <c r="V9" s="304" t="s">
        <v>258</v>
      </c>
      <c r="W9" s="304" t="s">
        <v>838</v>
      </c>
      <c r="X9" s="312" t="s">
        <v>839</v>
      </c>
      <c r="Y9" s="304" t="s">
        <v>840</v>
      </c>
      <c r="Z9" s="310" t="s">
        <v>841</v>
      </c>
      <c r="AA9" s="310" t="s">
        <v>852</v>
      </c>
    </row>
    <row r="10" spans="1:27" s="13" customFormat="1" x14ac:dyDescent="0.35">
      <c r="A10" s="233"/>
      <c r="B10" s="236"/>
      <c r="C10" s="246"/>
      <c r="D10" s="248"/>
      <c r="E10" s="233"/>
      <c r="F10" s="237"/>
      <c r="G10" s="233"/>
      <c r="H10" s="232"/>
      <c r="I10" s="51" t="s">
        <v>3</v>
      </c>
      <c r="J10" s="52" t="s">
        <v>4</v>
      </c>
      <c r="K10" s="225"/>
      <c r="L10" s="231"/>
      <c r="M10" s="233"/>
      <c r="N10" s="253"/>
      <c r="O10" s="51" t="s">
        <v>3</v>
      </c>
      <c r="P10" s="53" t="s">
        <v>4</v>
      </c>
      <c r="Q10" s="233"/>
      <c r="R10" s="237"/>
      <c r="S10" s="51" t="s">
        <v>24</v>
      </c>
      <c r="T10" s="253"/>
      <c r="U10" s="233"/>
      <c r="V10" s="305"/>
      <c r="W10" s="305"/>
      <c r="X10" s="313"/>
      <c r="Y10" s="305"/>
      <c r="Z10" s="310"/>
      <c r="AA10" s="310"/>
    </row>
    <row r="11" spans="1:27" s="61" customFormat="1" ht="17" customHeight="1" thickBot="1" x14ac:dyDescent="0.4">
      <c r="A11" s="54">
        <v>1</v>
      </c>
      <c r="B11" s="55">
        <v>2</v>
      </c>
      <c r="C11" s="56">
        <v>3</v>
      </c>
      <c r="D11" s="57">
        <v>4</v>
      </c>
      <c r="E11" s="54">
        <v>5</v>
      </c>
      <c r="F11" s="57">
        <v>6</v>
      </c>
      <c r="G11" s="54">
        <v>7</v>
      </c>
      <c r="H11" s="58">
        <v>8</v>
      </c>
      <c r="I11" s="54">
        <v>9</v>
      </c>
      <c r="J11" s="54">
        <v>10</v>
      </c>
      <c r="K11" s="54"/>
      <c r="L11" s="54">
        <v>11</v>
      </c>
      <c r="M11" s="55">
        <v>12</v>
      </c>
      <c r="N11" s="82">
        <v>13</v>
      </c>
      <c r="O11" s="55">
        <v>14</v>
      </c>
      <c r="P11" s="54">
        <v>15</v>
      </c>
      <c r="Q11" s="55">
        <v>16</v>
      </c>
      <c r="R11" s="54">
        <v>17</v>
      </c>
      <c r="S11" s="55">
        <v>18</v>
      </c>
      <c r="T11" s="54">
        <v>19</v>
      </c>
      <c r="U11" s="55">
        <v>20</v>
      </c>
      <c r="V11" s="82">
        <v>21</v>
      </c>
      <c r="W11" s="87">
        <v>22</v>
      </c>
      <c r="X11" s="82">
        <v>23</v>
      </c>
      <c r="Y11" s="55">
        <v>24</v>
      </c>
      <c r="Z11" s="54">
        <v>25</v>
      </c>
      <c r="AA11" s="54">
        <v>26</v>
      </c>
    </row>
    <row r="12" spans="1:27" ht="16" thickTop="1" x14ac:dyDescent="0.35">
      <c r="A12" s="18">
        <v>1</v>
      </c>
      <c r="B12" s="77" t="s">
        <v>481</v>
      </c>
      <c r="C12" s="34" t="s">
        <v>593</v>
      </c>
      <c r="D12" s="12" t="s">
        <v>33</v>
      </c>
      <c r="E12" s="18" t="s">
        <v>307</v>
      </c>
      <c r="F12" s="12" t="s">
        <v>634</v>
      </c>
      <c r="G12" s="21">
        <v>22133</v>
      </c>
      <c r="H12" s="16">
        <v>32203</v>
      </c>
      <c r="I12" s="18">
        <f ca="1">DATEDIF(H12,$A$5,"Y")</f>
        <v>36</v>
      </c>
      <c r="J12" s="50">
        <f ca="1">DATEDIF(H12,$A$5,"YM")</f>
        <v>7</v>
      </c>
      <c r="K12" s="50" t="s">
        <v>1133</v>
      </c>
      <c r="L12" s="49"/>
      <c r="M12" s="18" t="s">
        <v>760</v>
      </c>
      <c r="N12" s="83">
        <v>37712</v>
      </c>
      <c r="O12" s="18">
        <v>26</v>
      </c>
      <c r="P12" s="12">
        <v>3</v>
      </c>
      <c r="Q12" s="18" t="s">
        <v>763</v>
      </c>
      <c r="S12" s="18" t="s">
        <v>39</v>
      </c>
      <c r="T12" s="12" t="s">
        <v>40</v>
      </c>
      <c r="U12" s="18" t="str">
        <f ca="1">DATEDIF(G12,$A$5,"Y") &amp;" Tahun, "&amp;DATEDIF(G12,$A$5,"YM") &amp;" Bulan, "&amp;DATEDIF(G12,$A$5,"MD") &amp;" Hari"</f>
        <v>64 Tahun, 2 Bulan, 3 Hari</v>
      </c>
      <c r="V12" s="86" t="s">
        <v>835</v>
      </c>
      <c r="W12" s="88">
        <v>712.83</v>
      </c>
      <c r="X12" s="92">
        <v>37500</v>
      </c>
      <c r="Y12" s="21" t="s">
        <v>843</v>
      </c>
      <c r="Z12" s="21">
        <v>44957</v>
      </c>
      <c r="AA12" s="21"/>
    </row>
    <row r="13" spans="1:27" x14ac:dyDescent="0.35">
      <c r="A13" s="18">
        <v>2</v>
      </c>
      <c r="B13" s="78" t="s">
        <v>482</v>
      </c>
      <c r="C13" s="31" t="s">
        <v>594</v>
      </c>
      <c r="D13" s="12" t="s">
        <v>33</v>
      </c>
      <c r="E13" s="18" t="s">
        <v>307</v>
      </c>
      <c r="F13" s="12" t="s">
        <v>171</v>
      </c>
      <c r="G13" s="21">
        <v>23228</v>
      </c>
      <c r="H13" s="16">
        <v>32568</v>
      </c>
      <c r="I13" s="18">
        <f t="shared" ref="I13:I26" ca="1" si="0">DATEDIF(H13,$A$5,"Y")</f>
        <v>35</v>
      </c>
      <c r="J13" s="50">
        <f t="shared" ref="J13:J27" ca="1" si="1">DATEDIF(H13,$A$5,"YM")</f>
        <v>7</v>
      </c>
      <c r="K13" s="50" t="s">
        <v>1133</v>
      </c>
      <c r="L13" s="50" t="s">
        <v>1214</v>
      </c>
      <c r="M13" s="18" t="s">
        <v>760</v>
      </c>
      <c r="N13" s="83">
        <v>38443</v>
      </c>
      <c r="O13" s="18">
        <v>26</v>
      </c>
      <c r="P13" s="12">
        <v>3</v>
      </c>
      <c r="Q13" s="18" t="s">
        <v>764</v>
      </c>
      <c r="S13" s="18" t="s">
        <v>39</v>
      </c>
      <c r="T13" s="12" t="s">
        <v>40</v>
      </c>
      <c r="U13" s="18" t="str">
        <f t="shared" ref="U13:U26" ca="1" si="2">DATEDIF(G13,$A$5,"Y") &amp;" Tahun, "&amp;DATEDIF(G13,$A$5,"YM") &amp;" Bulan, "&amp;DATEDIF(G13,$A$5,"MD") &amp;" Hari"</f>
        <v>61 Tahun, 2 Bulan, 3 Hari</v>
      </c>
      <c r="V13" s="86" t="s">
        <v>835</v>
      </c>
      <c r="W13" s="88">
        <v>720.5</v>
      </c>
      <c r="X13" s="92">
        <v>38322</v>
      </c>
      <c r="Y13" s="21" t="s">
        <v>844</v>
      </c>
      <c r="Z13" s="21">
        <v>44957</v>
      </c>
      <c r="AA13" s="21"/>
    </row>
    <row r="14" spans="1:27" x14ac:dyDescent="0.35">
      <c r="A14" s="18">
        <v>3</v>
      </c>
      <c r="B14" s="78" t="s">
        <v>483</v>
      </c>
      <c r="C14" s="31" t="s">
        <v>595</v>
      </c>
      <c r="D14" s="12" t="s">
        <v>629</v>
      </c>
      <c r="E14" s="18" t="s">
        <v>307</v>
      </c>
      <c r="F14" s="12" t="s">
        <v>635</v>
      </c>
      <c r="G14" s="21">
        <v>23660</v>
      </c>
      <c r="H14" s="16">
        <v>33664</v>
      </c>
      <c r="I14" s="18">
        <f t="shared" ca="1" si="0"/>
        <v>32</v>
      </c>
      <c r="J14" s="50">
        <f t="shared" ca="1" si="1"/>
        <v>7</v>
      </c>
      <c r="K14" s="50" t="s">
        <v>1133</v>
      </c>
      <c r="L14" s="50" t="s">
        <v>1211</v>
      </c>
      <c r="M14" s="18" t="s">
        <v>760</v>
      </c>
      <c r="N14" s="83">
        <v>39356</v>
      </c>
      <c r="O14" s="18">
        <v>23</v>
      </c>
      <c r="P14" s="12">
        <v>0</v>
      </c>
      <c r="Q14" s="18" t="s">
        <v>765</v>
      </c>
      <c r="S14" s="18" t="s">
        <v>39</v>
      </c>
      <c r="T14" s="12" t="s">
        <v>40</v>
      </c>
      <c r="U14" s="18" t="str">
        <f t="shared" ca="1" si="2"/>
        <v>59 Tahun, 11 Bulan, 28 Hari</v>
      </c>
      <c r="V14" s="86" t="s">
        <v>835</v>
      </c>
      <c r="W14" s="81">
        <v>713.61</v>
      </c>
      <c r="X14" s="92">
        <v>39173</v>
      </c>
      <c r="Y14" s="21"/>
      <c r="Z14" s="18"/>
      <c r="AA14" s="18"/>
    </row>
    <row r="15" spans="1:27" x14ac:dyDescent="0.35">
      <c r="A15" s="18">
        <v>4</v>
      </c>
      <c r="B15" s="78" t="s">
        <v>484</v>
      </c>
      <c r="C15" s="31" t="s">
        <v>596</v>
      </c>
      <c r="D15" s="12" t="s">
        <v>33</v>
      </c>
      <c r="E15" s="18" t="s">
        <v>307</v>
      </c>
      <c r="F15" s="12" t="s">
        <v>171</v>
      </c>
      <c r="G15" s="21">
        <v>22505</v>
      </c>
      <c r="H15" s="16">
        <v>32203</v>
      </c>
      <c r="I15" s="18">
        <f t="shared" ca="1" si="0"/>
        <v>36</v>
      </c>
      <c r="J15" s="50">
        <f t="shared" ca="1" si="1"/>
        <v>7</v>
      </c>
      <c r="K15" s="50" t="s">
        <v>1133</v>
      </c>
      <c r="L15" s="50" t="s">
        <v>1214</v>
      </c>
      <c r="M15" s="18" t="s">
        <v>760</v>
      </c>
      <c r="N15" s="83">
        <v>39539</v>
      </c>
      <c r="O15" s="18">
        <v>27</v>
      </c>
      <c r="P15" s="12">
        <v>0</v>
      </c>
      <c r="Q15" s="18" t="s">
        <v>766</v>
      </c>
      <c r="S15" s="18" t="s">
        <v>39</v>
      </c>
      <c r="T15" s="12" t="s">
        <v>40</v>
      </c>
      <c r="U15" s="18" t="str">
        <f t="shared" ca="1" si="2"/>
        <v>63 Tahun, 1 Bulan, 26 Hari</v>
      </c>
      <c r="V15" s="86" t="s">
        <v>835</v>
      </c>
      <c r="W15" s="88">
        <v>724.7</v>
      </c>
      <c r="X15" s="92">
        <v>39448</v>
      </c>
      <c r="Y15" s="21"/>
      <c r="Z15" s="18"/>
      <c r="AA15" s="18"/>
    </row>
    <row r="16" spans="1:27" x14ac:dyDescent="0.35">
      <c r="A16" s="18">
        <v>5</v>
      </c>
      <c r="B16" s="78" t="s">
        <v>485</v>
      </c>
      <c r="C16" s="31" t="s">
        <v>597</v>
      </c>
      <c r="D16" s="12" t="s">
        <v>33</v>
      </c>
      <c r="E16" s="18" t="s">
        <v>307</v>
      </c>
      <c r="F16" s="12" t="s">
        <v>35</v>
      </c>
      <c r="G16" s="21">
        <v>22957</v>
      </c>
      <c r="H16" s="16">
        <v>32568</v>
      </c>
      <c r="I16" s="18">
        <f t="shared" ca="1" si="0"/>
        <v>35</v>
      </c>
      <c r="J16" s="50">
        <f t="shared" ca="1" si="1"/>
        <v>7</v>
      </c>
      <c r="K16" s="50" t="s">
        <v>1133</v>
      </c>
      <c r="L16" s="50"/>
      <c r="M16" s="18" t="s">
        <v>760</v>
      </c>
      <c r="N16" s="83">
        <v>39722</v>
      </c>
      <c r="O16" s="18">
        <v>26</v>
      </c>
      <c r="P16" s="12">
        <v>0</v>
      </c>
      <c r="Q16" s="18" t="s">
        <v>767</v>
      </c>
      <c r="S16" s="18" t="s">
        <v>39</v>
      </c>
      <c r="T16" s="12" t="s">
        <v>40</v>
      </c>
      <c r="U16" s="18" t="str">
        <f t="shared" ca="1" si="2"/>
        <v>61 Tahun, 11 Bulan, 1 Hari</v>
      </c>
      <c r="V16" s="86" t="s">
        <v>835</v>
      </c>
      <c r="W16" s="88">
        <v>742.5</v>
      </c>
      <c r="X16" s="92">
        <v>39692</v>
      </c>
      <c r="Y16" s="21"/>
      <c r="Z16" s="18"/>
      <c r="AA16" s="18"/>
    </row>
    <row r="17" spans="1:27" x14ac:dyDescent="0.35">
      <c r="A17" s="18">
        <v>6</v>
      </c>
      <c r="B17" s="78" t="s">
        <v>486</v>
      </c>
      <c r="C17" s="31" t="s">
        <v>598</v>
      </c>
      <c r="D17" s="12" t="s">
        <v>33</v>
      </c>
      <c r="E17" s="18" t="s">
        <v>307</v>
      </c>
      <c r="F17" s="12" t="s">
        <v>636</v>
      </c>
      <c r="G17" s="21">
        <v>23743</v>
      </c>
      <c r="H17" s="16">
        <v>33664</v>
      </c>
      <c r="I17" s="18">
        <f t="shared" ca="1" si="0"/>
        <v>32</v>
      </c>
      <c r="J17" s="50">
        <f t="shared" ca="1" si="1"/>
        <v>7</v>
      </c>
      <c r="K17" s="50" t="s">
        <v>1133</v>
      </c>
      <c r="L17" s="50" t="s">
        <v>1214</v>
      </c>
      <c r="M17" s="18" t="s">
        <v>760</v>
      </c>
      <c r="N17" s="83">
        <v>40087</v>
      </c>
      <c r="O17" s="18">
        <v>23</v>
      </c>
      <c r="P17" s="12">
        <v>0</v>
      </c>
      <c r="Q17" s="18" t="s">
        <v>768</v>
      </c>
      <c r="S17" s="18" t="s">
        <v>220</v>
      </c>
      <c r="T17" s="12" t="s">
        <v>40</v>
      </c>
      <c r="U17" s="18" t="str">
        <f t="shared" ca="1" si="2"/>
        <v>59 Tahun, 9 Bulan, 7 Hari</v>
      </c>
      <c r="V17" s="86" t="s">
        <v>835</v>
      </c>
      <c r="W17" s="81">
        <v>735.85</v>
      </c>
      <c r="X17" s="92">
        <v>40057</v>
      </c>
      <c r="Y17" s="21" t="s">
        <v>845</v>
      </c>
      <c r="Z17" s="21">
        <v>44957</v>
      </c>
      <c r="AA17" s="21"/>
    </row>
    <row r="18" spans="1:27" x14ac:dyDescent="0.35">
      <c r="A18" s="18">
        <v>7</v>
      </c>
      <c r="B18" s="78" t="s">
        <v>487</v>
      </c>
      <c r="C18" s="31" t="s">
        <v>599</v>
      </c>
      <c r="D18" s="12" t="s">
        <v>33</v>
      </c>
      <c r="E18" s="18" t="s">
        <v>307</v>
      </c>
      <c r="F18" s="12" t="s">
        <v>171</v>
      </c>
      <c r="G18" s="21">
        <v>25826</v>
      </c>
      <c r="H18" s="16">
        <v>35034</v>
      </c>
      <c r="I18" s="18">
        <f t="shared" ca="1" si="0"/>
        <v>28</v>
      </c>
      <c r="J18" s="50">
        <f t="shared" ca="1" si="1"/>
        <v>10</v>
      </c>
      <c r="K18" s="50" t="s">
        <v>1133</v>
      </c>
      <c r="L18" s="50"/>
      <c r="M18" s="18" t="s">
        <v>760</v>
      </c>
      <c r="N18" s="83">
        <v>42278</v>
      </c>
      <c r="O18" s="18">
        <v>19</v>
      </c>
      <c r="P18" s="12">
        <v>10</v>
      </c>
      <c r="Q18" s="18" t="s">
        <v>769</v>
      </c>
      <c r="S18" s="18" t="s">
        <v>39</v>
      </c>
      <c r="T18" s="12" t="s">
        <v>40</v>
      </c>
      <c r="U18" s="18" t="str">
        <f t="shared" ca="1" si="2"/>
        <v>54 Tahun, 0 Bulan, 23 Hari</v>
      </c>
      <c r="V18" s="86" t="s">
        <v>835</v>
      </c>
      <c r="W18" s="81">
        <v>765.68</v>
      </c>
      <c r="X18" s="92">
        <v>42125</v>
      </c>
      <c r="Y18" s="21" t="s">
        <v>846</v>
      </c>
      <c r="Z18" s="21">
        <v>44957</v>
      </c>
      <c r="AA18" s="21"/>
    </row>
    <row r="19" spans="1:27" x14ac:dyDescent="0.35">
      <c r="A19" s="18">
        <v>8</v>
      </c>
      <c r="B19" s="78" t="s">
        <v>488</v>
      </c>
      <c r="C19" s="31" t="s">
        <v>600</v>
      </c>
      <c r="D19" s="12" t="s">
        <v>629</v>
      </c>
      <c r="E19" s="18" t="s">
        <v>309</v>
      </c>
      <c r="F19" s="12" t="s">
        <v>637</v>
      </c>
      <c r="G19" s="21">
        <v>25997</v>
      </c>
      <c r="H19" s="16">
        <v>35034</v>
      </c>
      <c r="I19" s="18">
        <f t="shared" ca="1" si="0"/>
        <v>28</v>
      </c>
      <c r="J19" s="50">
        <f t="shared" ca="1" si="1"/>
        <v>10</v>
      </c>
      <c r="K19" s="50" t="s">
        <v>1133</v>
      </c>
      <c r="L19" s="50"/>
      <c r="M19" s="18" t="s">
        <v>760</v>
      </c>
      <c r="N19" s="83">
        <v>43009</v>
      </c>
      <c r="O19" s="18">
        <v>19</v>
      </c>
      <c r="P19" s="12">
        <v>0</v>
      </c>
      <c r="Q19" s="18" t="s">
        <v>770</v>
      </c>
      <c r="S19" s="18" t="s">
        <v>220</v>
      </c>
      <c r="T19" s="12" t="s">
        <v>40</v>
      </c>
      <c r="U19" s="18" t="str">
        <f t="shared" ca="1" si="2"/>
        <v>53 Tahun, 7 Bulan, 3 Hari</v>
      </c>
      <c r="V19" s="86" t="s">
        <v>835</v>
      </c>
      <c r="W19" s="81">
        <v>705.31</v>
      </c>
      <c r="X19" s="92">
        <v>42125</v>
      </c>
      <c r="Y19" s="21"/>
      <c r="Z19" s="18"/>
      <c r="AA19" s="18"/>
    </row>
    <row r="20" spans="1:27" x14ac:dyDescent="0.35">
      <c r="A20" s="18">
        <v>9</v>
      </c>
      <c r="B20" s="78" t="s">
        <v>489</v>
      </c>
      <c r="C20" s="31" t="s">
        <v>601</v>
      </c>
      <c r="D20" s="12" t="s">
        <v>629</v>
      </c>
      <c r="E20" s="18" t="s">
        <v>309</v>
      </c>
      <c r="F20" s="12" t="s">
        <v>638</v>
      </c>
      <c r="G20" s="21">
        <v>26996</v>
      </c>
      <c r="H20" s="16">
        <v>36220</v>
      </c>
      <c r="I20" s="18">
        <f t="shared" ca="1" si="0"/>
        <v>25</v>
      </c>
      <c r="J20" s="50">
        <f t="shared" ca="1" si="1"/>
        <v>7</v>
      </c>
      <c r="K20" s="50" t="s">
        <v>1133</v>
      </c>
      <c r="L20" s="50"/>
      <c r="M20" s="18" t="s">
        <v>37</v>
      </c>
      <c r="N20" s="83">
        <v>43374</v>
      </c>
      <c r="O20" s="18">
        <v>19</v>
      </c>
      <c r="P20" s="12">
        <v>9</v>
      </c>
      <c r="Q20" s="18" t="s">
        <v>771</v>
      </c>
      <c r="S20" s="18" t="s">
        <v>220</v>
      </c>
      <c r="T20" s="12" t="s">
        <v>40</v>
      </c>
      <c r="U20" s="18" t="str">
        <f t="shared" ca="1" si="2"/>
        <v>50 Tahun, 10 Bulan, 10 Hari</v>
      </c>
      <c r="V20" s="86" t="s">
        <v>835</v>
      </c>
      <c r="W20" s="81">
        <v>591.19000000000005</v>
      </c>
      <c r="X20" s="92">
        <v>42186</v>
      </c>
      <c r="Y20" s="21" t="s">
        <v>847</v>
      </c>
      <c r="Z20" s="21">
        <v>44957</v>
      </c>
      <c r="AA20" s="21"/>
    </row>
    <row r="21" spans="1:27" x14ac:dyDescent="0.35">
      <c r="A21" s="18">
        <v>10</v>
      </c>
      <c r="B21" s="78" t="s">
        <v>490</v>
      </c>
      <c r="C21" s="31" t="s">
        <v>602</v>
      </c>
      <c r="D21" s="12" t="s">
        <v>33</v>
      </c>
      <c r="E21" s="18" t="s">
        <v>307</v>
      </c>
      <c r="F21" s="12" t="s">
        <v>639</v>
      </c>
      <c r="G21" s="21">
        <v>25613</v>
      </c>
      <c r="H21" s="16">
        <v>35490</v>
      </c>
      <c r="I21" s="18">
        <f t="shared" ca="1" si="0"/>
        <v>27</v>
      </c>
      <c r="J21" s="50">
        <f t="shared" ca="1" si="1"/>
        <v>7</v>
      </c>
      <c r="K21" s="50" t="s">
        <v>1133</v>
      </c>
      <c r="L21" s="50"/>
      <c r="M21" s="18" t="s">
        <v>37</v>
      </c>
      <c r="N21" s="83">
        <v>42644</v>
      </c>
      <c r="O21" s="18">
        <v>19</v>
      </c>
      <c r="P21" s="12">
        <v>7</v>
      </c>
      <c r="Q21" s="18" t="s">
        <v>772</v>
      </c>
      <c r="S21" s="18" t="s">
        <v>220</v>
      </c>
      <c r="T21" s="12" t="s">
        <v>40</v>
      </c>
      <c r="U21" s="18" t="str">
        <f t="shared" ca="1" si="2"/>
        <v>54 Tahun, 7 Bulan, 24 Hari</v>
      </c>
      <c r="V21" s="86" t="s">
        <v>835</v>
      </c>
      <c r="W21" s="88">
        <v>550</v>
      </c>
      <c r="X21" s="92">
        <v>42430</v>
      </c>
      <c r="Y21" s="21" t="s">
        <v>848</v>
      </c>
      <c r="Z21" s="21">
        <v>45239</v>
      </c>
      <c r="AA21" s="21"/>
    </row>
    <row r="22" spans="1:27" x14ac:dyDescent="0.35">
      <c r="A22" s="18">
        <v>11</v>
      </c>
      <c r="B22" s="78" t="s">
        <v>491</v>
      </c>
      <c r="C22" s="31" t="s">
        <v>603</v>
      </c>
      <c r="D22" s="12" t="s">
        <v>33</v>
      </c>
      <c r="E22" s="18" t="s">
        <v>307</v>
      </c>
      <c r="F22" s="12" t="s">
        <v>640</v>
      </c>
      <c r="G22" s="21">
        <v>21996</v>
      </c>
      <c r="H22" s="16">
        <v>32568</v>
      </c>
      <c r="I22" s="18">
        <f t="shared" ca="1" si="0"/>
        <v>35</v>
      </c>
      <c r="J22" s="50">
        <f t="shared" ca="1" si="1"/>
        <v>7</v>
      </c>
      <c r="K22" s="50" t="s">
        <v>1133</v>
      </c>
      <c r="L22" s="50"/>
      <c r="M22" s="18" t="s">
        <v>177</v>
      </c>
      <c r="N22" s="83">
        <v>36617</v>
      </c>
      <c r="O22" s="18">
        <v>25</v>
      </c>
      <c r="P22" s="12">
        <v>1</v>
      </c>
      <c r="Q22" s="18" t="s">
        <v>773</v>
      </c>
      <c r="S22" s="18" t="s">
        <v>39</v>
      </c>
      <c r="T22" s="12" t="s">
        <v>40</v>
      </c>
      <c r="U22" s="18" t="str">
        <f t="shared" ca="1" si="2"/>
        <v>64 Tahun, 6 Bulan, 17 Hari</v>
      </c>
      <c r="V22" s="86" t="s">
        <v>835</v>
      </c>
      <c r="W22" s="88">
        <v>407.8</v>
      </c>
      <c r="X22" s="92">
        <v>36526</v>
      </c>
      <c r="Y22" s="21" t="s">
        <v>849</v>
      </c>
      <c r="Z22" s="21">
        <v>44957</v>
      </c>
      <c r="AA22" s="21"/>
    </row>
    <row r="23" spans="1:27" x14ac:dyDescent="0.35">
      <c r="A23" s="18">
        <v>12</v>
      </c>
      <c r="B23" s="78" t="s">
        <v>492</v>
      </c>
      <c r="C23" s="31" t="s">
        <v>604</v>
      </c>
      <c r="D23" s="12" t="s">
        <v>33</v>
      </c>
      <c r="E23" s="18" t="s">
        <v>307</v>
      </c>
      <c r="F23" s="12" t="s">
        <v>171</v>
      </c>
      <c r="G23" s="21">
        <v>23520</v>
      </c>
      <c r="H23" s="16">
        <v>35490</v>
      </c>
      <c r="I23" s="18">
        <f t="shared" ca="1" si="0"/>
        <v>27</v>
      </c>
      <c r="J23" s="50">
        <f t="shared" ca="1" si="1"/>
        <v>7</v>
      </c>
      <c r="K23" s="50" t="s">
        <v>1133</v>
      </c>
      <c r="L23" s="50"/>
      <c r="M23" s="18" t="s">
        <v>178</v>
      </c>
      <c r="N23" s="83">
        <v>40634</v>
      </c>
      <c r="O23" s="18">
        <v>18</v>
      </c>
      <c r="P23" s="12">
        <v>1</v>
      </c>
      <c r="Q23" s="18" t="s">
        <v>774</v>
      </c>
      <c r="S23" s="18" t="s">
        <v>39</v>
      </c>
      <c r="T23" s="12" t="s">
        <v>40</v>
      </c>
      <c r="U23" s="18" t="str">
        <f t="shared" ca="1" si="2"/>
        <v>60 Tahun, 4 Bulan, 15 Hari</v>
      </c>
      <c r="V23" s="86" t="s">
        <v>836</v>
      </c>
      <c r="W23" s="88">
        <v>328.2</v>
      </c>
      <c r="X23" s="92">
        <v>37530</v>
      </c>
      <c r="Y23" s="21" t="s">
        <v>850</v>
      </c>
      <c r="Z23" s="21">
        <v>44957</v>
      </c>
      <c r="AA23" s="21"/>
    </row>
    <row r="24" spans="1:27" x14ac:dyDescent="0.35">
      <c r="A24" s="18">
        <v>13</v>
      </c>
      <c r="B24" s="78" t="s">
        <v>493</v>
      </c>
      <c r="C24" s="31" t="s">
        <v>605</v>
      </c>
      <c r="D24" s="12" t="s">
        <v>33</v>
      </c>
      <c r="E24" s="18" t="s">
        <v>307</v>
      </c>
      <c r="F24" s="12" t="s">
        <v>641</v>
      </c>
      <c r="G24" s="21">
        <v>26514</v>
      </c>
      <c r="H24" s="16">
        <v>35827</v>
      </c>
      <c r="I24" s="18">
        <f t="shared" ca="1" si="0"/>
        <v>26</v>
      </c>
      <c r="J24" s="50">
        <f t="shared" ca="1" si="1"/>
        <v>8</v>
      </c>
      <c r="K24" s="50" t="s">
        <v>1133</v>
      </c>
      <c r="L24" s="50"/>
      <c r="M24" s="18" t="s">
        <v>178</v>
      </c>
      <c r="N24" s="83">
        <v>43739</v>
      </c>
      <c r="O24" s="18">
        <v>21</v>
      </c>
      <c r="P24" s="12">
        <v>8</v>
      </c>
      <c r="Q24" s="18" t="s">
        <v>775</v>
      </c>
      <c r="S24" s="18" t="s">
        <v>220</v>
      </c>
      <c r="T24" s="12" t="s">
        <v>219</v>
      </c>
      <c r="U24" s="18" t="str">
        <f t="shared" ca="1" si="2"/>
        <v>52 Tahun, 2 Bulan, 5 Hari</v>
      </c>
      <c r="V24" s="86" t="s">
        <v>836</v>
      </c>
      <c r="W24" s="88">
        <v>311</v>
      </c>
      <c r="X24" s="92">
        <v>40634</v>
      </c>
      <c r="Y24" s="21" t="s">
        <v>851</v>
      </c>
      <c r="Z24" s="21">
        <v>45239</v>
      </c>
      <c r="AA24" s="21"/>
    </row>
    <row r="25" spans="1:27" x14ac:dyDescent="0.35">
      <c r="A25" s="18">
        <v>14</v>
      </c>
      <c r="B25" s="78" t="s">
        <v>494</v>
      </c>
      <c r="C25" s="31" t="s">
        <v>606</v>
      </c>
      <c r="D25" s="12" t="s">
        <v>33</v>
      </c>
      <c r="E25" s="18" t="s">
        <v>1157</v>
      </c>
      <c r="F25" s="12" t="s">
        <v>642</v>
      </c>
      <c r="G25" s="21">
        <v>33799</v>
      </c>
      <c r="H25" s="16">
        <v>43525</v>
      </c>
      <c r="I25" s="18">
        <f t="shared" ca="1" si="0"/>
        <v>5</v>
      </c>
      <c r="J25" s="50">
        <f t="shared" ca="1" si="1"/>
        <v>7</v>
      </c>
      <c r="K25" s="50" t="s">
        <v>1133</v>
      </c>
      <c r="L25" s="50"/>
      <c r="M25" s="18" t="s">
        <v>180</v>
      </c>
      <c r="N25" s="83">
        <v>44197</v>
      </c>
      <c r="O25" s="18">
        <v>1</v>
      </c>
      <c r="P25" s="12">
        <v>10</v>
      </c>
      <c r="Q25" s="18"/>
      <c r="S25" s="18" t="s">
        <v>220</v>
      </c>
      <c r="T25" s="12" t="s">
        <v>40</v>
      </c>
      <c r="U25" s="18" t="str">
        <f t="shared" ca="1" si="2"/>
        <v>32 Tahun, 2 Bulan, 24 Hari</v>
      </c>
      <c r="V25" s="86" t="s">
        <v>836</v>
      </c>
      <c r="W25" s="81">
        <v>386.75</v>
      </c>
      <c r="X25" s="92">
        <v>45170</v>
      </c>
      <c r="Y25" s="21"/>
      <c r="Z25" s="18"/>
      <c r="AA25" s="18"/>
    </row>
    <row r="26" spans="1:27" x14ac:dyDescent="0.35">
      <c r="A26" s="18">
        <v>15</v>
      </c>
      <c r="B26" s="78" t="s">
        <v>495</v>
      </c>
      <c r="C26" s="31" t="s">
        <v>607</v>
      </c>
      <c r="D26" s="12" t="s">
        <v>33</v>
      </c>
      <c r="E26" s="18" t="s">
        <v>1158</v>
      </c>
      <c r="F26" s="12" t="s">
        <v>643</v>
      </c>
      <c r="G26" s="21">
        <v>32609</v>
      </c>
      <c r="H26" s="16">
        <v>44621</v>
      </c>
      <c r="I26" s="18">
        <f t="shared" ca="1" si="0"/>
        <v>2</v>
      </c>
      <c r="J26" s="50">
        <f t="shared" ca="1" si="1"/>
        <v>7</v>
      </c>
      <c r="K26" s="50" t="s">
        <v>1133</v>
      </c>
      <c r="L26" s="50"/>
      <c r="M26" s="18" t="s">
        <v>180</v>
      </c>
      <c r="N26" s="83">
        <v>44621</v>
      </c>
      <c r="O26" s="18">
        <v>0</v>
      </c>
      <c r="P26" s="12">
        <v>0</v>
      </c>
      <c r="Q26" s="18"/>
      <c r="S26" s="18" t="s">
        <v>39</v>
      </c>
      <c r="T26" s="12" t="s">
        <v>40</v>
      </c>
      <c r="U26" s="18" t="str">
        <f t="shared" ca="1" si="2"/>
        <v>35 Tahun, 5 Bulan, 27 Hari</v>
      </c>
      <c r="V26" s="86" t="s">
        <v>837</v>
      </c>
      <c r="W26" s="88">
        <v>150</v>
      </c>
      <c r="X26" s="92">
        <v>45170</v>
      </c>
      <c r="Y26" s="21"/>
      <c r="Z26" s="18"/>
      <c r="AA26" s="18" t="s">
        <v>853</v>
      </c>
    </row>
    <row r="27" spans="1:27" x14ac:dyDescent="0.35">
      <c r="A27" s="18">
        <v>16</v>
      </c>
      <c r="B27" s="78" t="s">
        <v>496</v>
      </c>
      <c r="C27" s="31" t="s">
        <v>608</v>
      </c>
      <c r="D27" s="12" t="s">
        <v>33</v>
      </c>
      <c r="E27" s="18" t="s">
        <v>307</v>
      </c>
      <c r="F27" s="12" t="s">
        <v>35</v>
      </c>
      <c r="G27" s="21">
        <v>34250</v>
      </c>
      <c r="H27" s="16">
        <v>44621</v>
      </c>
      <c r="I27" s="18">
        <f ca="1">DATEDIF(H27,$A$5,"Y")</f>
        <v>2</v>
      </c>
      <c r="J27" s="50">
        <f t="shared" ca="1" si="1"/>
        <v>7</v>
      </c>
      <c r="K27" s="50" t="s">
        <v>1133</v>
      </c>
      <c r="L27" s="50"/>
      <c r="M27" s="18" t="s">
        <v>180</v>
      </c>
      <c r="N27" s="83">
        <v>44621</v>
      </c>
      <c r="O27" s="18">
        <v>0</v>
      </c>
      <c r="P27" s="12">
        <v>0</v>
      </c>
      <c r="Q27" s="18"/>
      <c r="S27" s="18" t="s">
        <v>220</v>
      </c>
      <c r="T27" s="12" t="s">
        <v>40</v>
      </c>
      <c r="U27" s="18" t="str">
        <f ca="1">DATEDIF(G27,$A$5,"Y") &amp;" Tahun, "&amp;DATEDIF(G27,$A$5,"YM") &amp;" Bulan, "&amp;DATEDIF(G27,$A$5,"MD") &amp;" Hari"</f>
        <v>31 Tahun, 0 Bulan, 0 Hari</v>
      </c>
      <c r="V27" s="86" t="s">
        <v>837</v>
      </c>
      <c r="W27" s="88">
        <v>150</v>
      </c>
      <c r="X27" s="92">
        <v>44986</v>
      </c>
      <c r="Y27" s="21"/>
      <c r="Z27" s="18"/>
      <c r="AA27" s="18" t="s">
        <v>853</v>
      </c>
    </row>
    <row r="28" spans="1:27" x14ac:dyDescent="0.35">
      <c r="A28" s="37"/>
      <c r="B28" s="36"/>
      <c r="C28" s="36"/>
      <c r="D28" s="36"/>
    </row>
    <row r="29" spans="1:27" x14ac:dyDescent="0.35">
      <c r="A29" s="37"/>
      <c r="B29" s="36"/>
      <c r="C29" s="36"/>
      <c r="D29" s="36"/>
    </row>
    <row r="30" spans="1:27" x14ac:dyDescent="0.35">
      <c r="A30" s="37" t="str">
        <f>A7</f>
        <v>JURUSAN : LINGKUNGAN DAN KEHUTANAN</v>
      </c>
      <c r="B30" s="36"/>
      <c r="C30" s="36"/>
      <c r="D30" s="36"/>
    </row>
    <row r="31" spans="1:27" x14ac:dyDescent="0.35">
      <c r="A31" s="36" t="s">
        <v>263</v>
      </c>
    </row>
    <row r="32" spans="1:27" s="13" customFormat="1" ht="17" customHeight="1" x14ac:dyDescent="0.35">
      <c r="A32" s="233" t="s">
        <v>13</v>
      </c>
      <c r="B32" s="236" t="s">
        <v>14</v>
      </c>
      <c r="C32" s="245" t="s">
        <v>19</v>
      </c>
      <c r="D32" s="247" t="s">
        <v>15</v>
      </c>
      <c r="E32" s="233" t="s">
        <v>18</v>
      </c>
      <c r="F32" s="237" t="s">
        <v>16</v>
      </c>
      <c r="G32" s="233" t="s">
        <v>17</v>
      </c>
      <c r="H32" s="232" t="s">
        <v>36</v>
      </c>
      <c r="I32" s="249" t="s">
        <v>30</v>
      </c>
      <c r="J32" s="250"/>
      <c r="K32" s="224" t="s">
        <v>1215</v>
      </c>
      <c r="L32" s="230" t="s">
        <v>268</v>
      </c>
      <c r="M32" s="233" t="s">
        <v>20</v>
      </c>
      <c r="N32" s="311" t="s">
        <v>21</v>
      </c>
      <c r="O32" s="251" t="s">
        <v>29</v>
      </c>
      <c r="P32" s="252"/>
      <c r="Q32" s="233" t="s">
        <v>22</v>
      </c>
      <c r="R32" s="237" t="s">
        <v>23</v>
      </c>
      <c r="S32" s="51" t="s">
        <v>31</v>
      </c>
      <c r="T32" s="253" t="s">
        <v>25</v>
      </c>
      <c r="U32" s="233" t="s">
        <v>26</v>
      </c>
      <c r="V32" s="304" t="s">
        <v>258</v>
      </c>
      <c r="W32" s="312" t="s">
        <v>838</v>
      </c>
      <c r="X32" s="312" t="s">
        <v>839</v>
      </c>
      <c r="Y32" s="304" t="s">
        <v>840</v>
      </c>
      <c r="Z32" s="310" t="s">
        <v>841</v>
      </c>
      <c r="AA32" s="310" t="s">
        <v>852</v>
      </c>
    </row>
    <row r="33" spans="1:27" s="13" customFormat="1" x14ac:dyDescent="0.35">
      <c r="A33" s="233"/>
      <c r="B33" s="236"/>
      <c r="C33" s="246"/>
      <c r="D33" s="248"/>
      <c r="E33" s="233"/>
      <c r="F33" s="237"/>
      <c r="G33" s="233"/>
      <c r="H33" s="232"/>
      <c r="I33" s="51" t="s">
        <v>3</v>
      </c>
      <c r="J33" s="52" t="s">
        <v>4</v>
      </c>
      <c r="K33" s="225"/>
      <c r="L33" s="231"/>
      <c r="M33" s="233"/>
      <c r="N33" s="253"/>
      <c r="O33" s="51" t="s">
        <v>3</v>
      </c>
      <c r="P33" s="53" t="s">
        <v>4</v>
      </c>
      <c r="Q33" s="233"/>
      <c r="R33" s="237"/>
      <c r="S33" s="51" t="s">
        <v>24</v>
      </c>
      <c r="T33" s="253"/>
      <c r="U33" s="233"/>
      <c r="V33" s="305"/>
      <c r="W33" s="313"/>
      <c r="X33" s="313"/>
      <c r="Y33" s="305"/>
      <c r="Z33" s="310"/>
      <c r="AA33" s="310"/>
    </row>
    <row r="34" spans="1:27" s="61" customFormat="1" ht="13.5" thickBot="1" x14ac:dyDescent="0.4">
      <c r="A34" s="54">
        <v>1</v>
      </c>
      <c r="B34" s="55">
        <v>2</v>
      </c>
      <c r="C34" s="56">
        <v>3</v>
      </c>
      <c r="D34" s="57">
        <v>4</v>
      </c>
      <c r="E34" s="54">
        <v>5</v>
      </c>
      <c r="F34" s="57">
        <v>6</v>
      </c>
      <c r="G34" s="54">
        <v>7</v>
      </c>
      <c r="H34" s="58">
        <v>8</v>
      </c>
      <c r="I34" s="54">
        <v>9</v>
      </c>
      <c r="J34" s="54">
        <v>10</v>
      </c>
      <c r="K34" s="54"/>
      <c r="L34" s="54">
        <v>11</v>
      </c>
      <c r="M34" s="55">
        <v>12</v>
      </c>
      <c r="N34" s="82">
        <v>13</v>
      </c>
      <c r="O34" s="55">
        <v>14</v>
      </c>
      <c r="P34" s="54">
        <v>15</v>
      </c>
      <c r="Q34" s="55">
        <v>16</v>
      </c>
      <c r="R34" s="54">
        <v>17</v>
      </c>
      <c r="S34" s="55">
        <v>18</v>
      </c>
      <c r="T34" s="54">
        <v>19</v>
      </c>
      <c r="U34" s="55">
        <v>20</v>
      </c>
      <c r="V34" s="82">
        <v>21</v>
      </c>
      <c r="W34" s="89">
        <v>22</v>
      </c>
      <c r="X34" s="82">
        <v>23</v>
      </c>
      <c r="Y34" s="55">
        <v>24</v>
      </c>
      <c r="Z34" s="54">
        <v>25</v>
      </c>
      <c r="AA34" s="54">
        <v>26</v>
      </c>
    </row>
    <row r="35" spans="1:27" ht="16" thickTop="1" x14ac:dyDescent="0.35">
      <c r="A35" s="18">
        <v>1</v>
      </c>
      <c r="B35" s="77" t="s">
        <v>474</v>
      </c>
      <c r="C35" s="34" t="s">
        <v>609</v>
      </c>
      <c r="D35" s="12" t="s">
        <v>33</v>
      </c>
      <c r="E35" s="18" t="s">
        <v>307</v>
      </c>
      <c r="F35" s="12" t="s">
        <v>390</v>
      </c>
      <c r="G35" s="21">
        <v>23312</v>
      </c>
      <c r="H35" s="16">
        <v>32203</v>
      </c>
      <c r="I35" s="18">
        <f t="shared" ref="I35:I41" ca="1" si="3">DATEDIF(H35,$A$5,"Y")</f>
        <v>36</v>
      </c>
      <c r="J35" s="50">
        <f t="shared" ref="J35:J41" ca="1" si="4">DATEDIF(H35,$A$5,"YM")</f>
        <v>7</v>
      </c>
      <c r="K35" s="50" t="s">
        <v>1133</v>
      </c>
      <c r="L35" s="49"/>
      <c r="M35" s="18" t="s">
        <v>760</v>
      </c>
      <c r="N35" s="83">
        <v>38626</v>
      </c>
      <c r="O35" s="18">
        <v>17</v>
      </c>
      <c r="P35" s="12">
        <v>7</v>
      </c>
      <c r="Q35" s="18" t="s">
        <v>776</v>
      </c>
      <c r="S35" s="18" t="s">
        <v>39</v>
      </c>
      <c r="T35" s="12" t="s">
        <v>40</v>
      </c>
      <c r="U35" s="18" t="str">
        <f t="shared" ref="U35:U44" ca="1" si="5">DATEDIF(G35,$A$5,"Y") &amp;" Tahun, "&amp;DATEDIF(G35,$A$5,"YM") &amp;" Bulan, "&amp;DATEDIF(G35,$A$5,"MD") &amp;" Hari"</f>
        <v>60 Tahun, 11 Bulan, 10 Hari</v>
      </c>
      <c r="V35" s="86" t="s">
        <v>835</v>
      </c>
      <c r="W35" s="88">
        <v>709.2</v>
      </c>
      <c r="X35" s="92">
        <v>38534</v>
      </c>
      <c r="Y35" s="21" t="s">
        <v>854</v>
      </c>
      <c r="Z35" s="21">
        <v>44957</v>
      </c>
      <c r="AA35" s="18"/>
    </row>
    <row r="36" spans="1:27" x14ac:dyDescent="0.35">
      <c r="A36" s="18">
        <v>2</v>
      </c>
      <c r="B36" s="78" t="s">
        <v>475</v>
      </c>
      <c r="C36" s="31" t="s">
        <v>610</v>
      </c>
      <c r="D36" s="12" t="s">
        <v>629</v>
      </c>
      <c r="E36" s="18"/>
      <c r="F36" s="12" t="s">
        <v>35</v>
      </c>
      <c r="G36" s="21">
        <v>25899</v>
      </c>
      <c r="H36" s="16">
        <v>35827</v>
      </c>
      <c r="I36" s="18">
        <f t="shared" ca="1" si="3"/>
        <v>26</v>
      </c>
      <c r="J36" s="50">
        <f t="shared" ca="1" si="4"/>
        <v>8</v>
      </c>
      <c r="K36" s="50" t="s">
        <v>1133</v>
      </c>
      <c r="L36" s="50"/>
      <c r="M36" s="18" t="s">
        <v>760</v>
      </c>
      <c r="N36" s="83">
        <v>42461</v>
      </c>
      <c r="O36" s="18">
        <v>18</v>
      </c>
      <c r="P36" s="12">
        <v>2</v>
      </c>
      <c r="Q36" s="18" t="s">
        <v>777</v>
      </c>
      <c r="S36" s="18" t="s">
        <v>220</v>
      </c>
      <c r="T36" s="12" t="s">
        <v>40</v>
      </c>
      <c r="U36" s="18" t="str">
        <f t="shared" ca="1" si="5"/>
        <v>53 Tahun, 10 Bulan, 11 Hari</v>
      </c>
      <c r="V36" s="86" t="s">
        <v>835</v>
      </c>
      <c r="W36" s="88">
        <v>792.05</v>
      </c>
      <c r="X36" s="92">
        <v>42248</v>
      </c>
      <c r="Y36" s="21"/>
      <c r="Z36" s="18"/>
      <c r="AA36" s="18"/>
    </row>
    <row r="37" spans="1:27" x14ac:dyDescent="0.35">
      <c r="A37" s="18">
        <v>3</v>
      </c>
      <c r="B37" s="78" t="s">
        <v>476</v>
      </c>
      <c r="C37" s="31" t="s">
        <v>611</v>
      </c>
      <c r="D37" s="12" t="s">
        <v>629</v>
      </c>
      <c r="E37" s="18"/>
      <c r="F37" s="12" t="s">
        <v>644</v>
      </c>
      <c r="G37" s="21">
        <v>25691</v>
      </c>
      <c r="H37" s="16">
        <v>35034</v>
      </c>
      <c r="I37" s="18">
        <f t="shared" ca="1" si="3"/>
        <v>28</v>
      </c>
      <c r="J37" s="50">
        <f t="shared" ca="1" si="4"/>
        <v>10</v>
      </c>
      <c r="K37" s="50" t="s">
        <v>1133</v>
      </c>
      <c r="L37" s="50"/>
      <c r="M37" s="18" t="s">
        <v>760</v>
      </c>
      <c r="N37" s="83">
        <v>44470</v>
      </c>
      <c r="O37" s="18">
        <v>25</v>
      </c>
      <c r="P37" s="12">
        <v>10</v>
      </c>
      <c r="Q37" s="18" t="s">
        <v>778</v>
      </c>
      <c r="S37" s="18" t="s">
        <v>220</v>
      </c>
      <c r="T37" s="12" t="s">
        <v>40</v>
      </c>
      <c r="U37" s="18" t="str">
        <f t="shared" ca="1" si="5"/>
        <v>54 Tahun, 5 Bulan, 5 Hari</v>
      </c>
      <c r="V37" s="86" t="s">
        <v>835</v>
      </c>
      <c r="W37" s="88">
        <v>701.8</v>
      </c>
      <c r="X37" s="92">
        <v>42856</v>
      </c>
      <c r="Y37" s="21" t="s">
        <v>855</v>
      </c>
      <c r="Z37" s="21">
        <v>44957</v>
      </c>
      <c r="AA37" s="18"/>
    </row>
    <row r="38" spans="1:27" x14ac:dyDescent="0.35">
      <c r="A38" s="18">
        <v>4</v>
      </c>
      <c r="B38" s="78" t="s">
        <v>477</v>
      </c>
      <c r="C38" s="31" t="s">
        <v>612</v>
      </c>
      <c r="D38" s="12" t="s">
        <v>629</v>
      </c>
      <c r="E38" s="18" t="s">
        <v>307</v>
      </c>
      <c r="F38" s="12" t="s">
        <v>645</v>
      </c>
      <c r="G38" s="21">
        <v>25810</v>
      </c>
      <c r="H38" s="16">
        <v>35490</v>
      </c>
      <c r="I38" s="18">
        <f t="shared" ca="1" si="3"/>
        <v>27</v>
      </c>
      <c r="J38" s="50">
        <f t="shared" ca="1" si="4"/>
        <v>7</v>
      </c>
      <c r="K38" s="50" t="s">
        <v>1133</v>
      </c>
      <c r="L38" s="50"/>
      <c r="M38" s="18" t="s">
        <v>37</v>
      </c>
      <c r="N38" s="83">
        <v>42095</v>
      </c>
      <c r="O38" s="18">
        <v>18</v>
      </c>
      <c r="P38" s="12">
        <v>1</v>
      </c>
      <c r="Q38" s="18" t="s">
        <v>779</v>
      </c>
      <c r="S38" s="18" t="s">
        <v>39</v>
      </c>
      <c r="T38" s="12" t="s">
        <v>219</v>
      </c>
      <c r="U38" s="18" t="str">
        <f t="shared" ca="1" si="5"/>
        <v>54 Tahun, 1 Bulan, 8 Hari</v>
      </c>
      <c r="V38" s="86" t="s">
        <v>835</v>
      </c>
      <c r="W38" s="88">
        <v>520</v>
      </c>
      <c r="X38" s="92">
        <v>40330</v>
      </c>
      <c r="Y38" s="80" t="s">
        <v>856</v>
      </c>
      <c r="Z38" s="21">
        <v>44874</v>
      </c>
      <c r="AA38" s="18"/>
    </row>
    <row r="39" spans="1:27" x14ac:dyDescent="0.35">
      <c r="A39" s="18">
        <v>5</v>
      </c>
      <c r="B39" s="78" t="s">
        <v>478</v>
      </c>
      <c r="C39" s="31" t="s">
        <v>613</v>
      </c>
      <c r="D39" s="12" t="s">
        <v>33</v>
      </c>
      <c r="E39" s="18" t="s">
        <v>307</v>
      </c>
      <c r="F39" s="12" t="s">
        <v>646</v>
      </c>
      <c r="G39" s="21">
        <v>24292</v>
      </c>
      <c r="H39" s="16">
        <v>33664</v>
      </c>
      <c r="I39" s="18">
        <f t="shared" ca="1" si="3"/>
        <v>32</v>
      </c>
      <c r="J39" s="50">
        <f t="shared" ca="1" si="4"/>
        <v>7</v>
      </c>
      <c r="K39" s="50" t="s">
        <v>1133</v>
      </c>
      <c r="L39" s="50" t="s">
        <v>1214</v>
      </c>
      <c r="M39" s="18" t="s">
        <v>37</v>
      </c>
      <c r="N39" s="83">
        <v>43374</v>
      </c>
      <c r="O39" s="18">
        <v>26</v>
      </c>
      <c r="P39" s="12">
        <v>7</v>
      </c>
      <c r="Q39" s="18" t="s">
        <v>780</v>
      </c>
      <c r="S39" s="18" t="s">
        <v>39</v>
      </c>
      <c r="T39" s="12" t="s">
        <v>40</v>
      </c>
      <c r="U39" s="18" t="str">
        <f t="shared" ca="1" si="5"/>
        <v>58 Tahun, 3 Bulan, 4 Hari</v>
      </c>
      <c r="V39" s="86" t="s">
        <v>835</v>
      </c>
      <c r="W39" s="88">
        <v>617</v>
      </c>
      <c r="X39" s="92">
        <v>42125</v>
      </c>
      <c r="Y39" s="21" t="s">
        <v>857</v>
      </c>
      <c r="Z39" s="21">
        <v>44957</v>
      </c>
      <c r="AA39" s="18"/>
    </row>
    <row r="40" spans="1:27" x14ac:dyDescent="0.35">
      <c r="A40" s="18">
        <v>6</v>
      </c>
      <c r="B40" s="78" t="s">
        <v>479</v>
      </c>
      <c r="C40" s="31" t="s">
        <v>614</v>
      </c>
      <c r="D40" s="12" t="s">
        <v>33</v>
      </c>
      <c r="E40" s="18" t="s">
        <v>307</v>
      </c>
      <c r="F40" s="12" t="s">
        <v>647</v>
      </c>
      <c r="G40" s="21">
        <v>22941</v>
      </c>
      <c r="H40" s="16">
        <v>32203</v>
      </c>
      <c r="I40" s="18">
        <f t="shared" ca="1" si="3"/>
        <v>36</v>
      </c>
      <c r="J40" s="50">
        <f t="shared" ca="1" si="4"/>
        <v>7</v>
      </c>
      <c r="K40" s="50" t="s">
        <v>1133</v>
      </c>
      <c r="L40" s="50"/>
      <c r="M40" s="18" t="s">
        <v>178</v>
      </c>
      <c r="N40" s="83">
        <v>39356</v>
      </c>
      <c r="O40" s="18">
        <v>9</v>
      </c>
      <c r="P40" s="12">
        <v>9</v>
      </c>
      <c r="Q40" s="18" t="s">
        <v>781</v>
      </c>
      <c r="S40" s="18" t="s">
        <v>39</v>
      </c>
      <c r="T40" s="12" t="s">
        <v>40</v>
      </c>
      <c r="U40" s="18" t="str">
        <f t="shared" ca="1" si="5"/>
        <v>61 Tahun, 11 Bulan, 16 Hari</v>
      </c>
      <c r="V40" s="86" t="s">
        <v>836</v>
      </c>
      <c r="W40" s="88">
        <v>330.41</v>
      </c>
      <c r="X40" s="92">
        <v>38078</v>
      </c>
      <c r="Y40" s="21"/>
      <c r="Z40" s="18"/>
      <c r="AA40" s="18"/>
    </row>
    <row r="41" spans="1:27" x14ac:dyDescent="0.35">
      <c r="A41" s="18">
        <v>7</v>
      </c>
      <c r="B41" s="78" t="s">
        <v>480</v>
      </c>
      <c r="C41" s="32" t="s">
        <v>615</v>
      </c>
      <c r="D41" s="12" t="s">
        <v>33</v>
      </c>
      <c r="E41" s="18" t="s">
        <v>307</v>
      </c>
      <c r="F41" s="12" t="s">
        <v>35</v>
      </c>
      <c r="G41" s="21">
        <v>32760</v>
      </c>
      <c r="H41" s="16">
        <v>43525</v>
      </c>
      <c r="I41" s="18">
        <f t="shared" ca="1" si="3"/>
        <v>5</v>
      </c>
      <c r="J41" s="50">
        <f t="shared" ca="1" si="4"/>
        <v>7</v>
      </c>
      <c r="K41" s="50" t="s">
        <v>1133</v>
      </c>
      <c r="L41" s="50"/>
      <c r="M41" s="18" t="s">
        <v>180</v>
      </c>
      <c r="N41" s="83">
        <v>44197</v>
      </c>
      <c r="O41" s="18">
        <v>1</v>
      </c>
      <c r="P41" s="12">
        <v>10</v>
      </c>
      <c r="Q41" s="18"/>
      <c r="S41" s="18" t="s">
        <v>220</v>
      </c>
      <c r="T41" s="12" t="s">
        <v>40</v>
      </c>
      <c r="U41" s="18" t="str">
        <f t="shared" ca="1" si="5"/>
        <v>35 Tahun, 0 Bulan, 29 Hari</v>
      </c>
      <c r="V41" s="86" t="s">
        <v>836</v>
      </c>
      <c r="W41" s="88">
        <v>357.5</v>
      </c>
      <c r="X41" s="92">
        <v>45170</v>
      </c>
      <c r="Y41" s="21"/>
      <c r="Z41" s="18"/>
      <c r="AA41" s="18"/>
    </row>
    <row r="42" spans="1:27" x14ac:dyDescent="0.35">
      <c r="A42" s="18">
        <v>8</v>
      </c>
      <c r="B42" s="78" t="s">
        <v>1164</v>
      </c>
      <c r="C42" s="32" t="s">
        <v>1165</v>
      </c>
      <c r="D42" s="12" t="s">
        <v>33</v>
      </c>
      <c r="E42" s="18" t="s">
        <v>1166</v>
      </c>
      <c r="F42" s="12" t="s">
        <v>635</v>
      </c>
      <c r="G42" s="21">
        <v>35873</v>
      </c>
      <c r="H42" s="16">
        <v>45444</v>
      </c>
      <c r="I42" s="18">
        <v>0</v>
      </c>
      <c r="J42" s="50">
        <v>0</v>
      </c>
      <c r="K42" s="50" t="s">
        <v>1133</v>
      </c>
      <c r="L42" s="50"/>
      <c r="M42" s="18" t="s">
        <v>180</v>
      </c>
      <c r="N42" s="83">
        <v>45444</v>
      </c>
      <c r="O42" s="18">
        <v>0</v>
      </c>
      <c r="P42" s="12">
        <v>0</v>
      </c>
      <c r="Q42" s="18"/>
      <c r="S42" s="18" t="s">
        <v>220</v>
      </c>
      <c r="T42" s="12" t="s">
        <v>40</v>
      </c>
      <c r="U42" s="18" t="str">
        <f t="shared" ca="1" si="5"/>
        <v>26 Tahun, 6 Bulan, 19 Hari</v>
      </c>
      <c r="V42" s="86" t="s">
        <v>837</v>
      </c>
      <c r="W42" s="88">
        <v>0</v>
      </c>
      <c r="X42" s="92">
        <v>45444</v>
      </c>
      <c r="Y42" s="21"/>
      <c r="Z42" s="18"/>
      <c r="AA42" s="18" t="s">
        <v>1167</v>
      </c>
    </row>
    <row r="43" spans="1:27" x14ac:dyDescent="0.35">
      <c r="A43" s="18">
        <v>9</v>
      </c>
      <c r="B43" s="78" t="s">
        <v>1168</v>
      </c>
      <c r="C43" s="32" t="s">
        <v>1169</v>
      </c>
      <c r="D43" s="12" t="s">
        <v>33</v>
      </c>
      <c r="E43" s="18" t="s">
        <v>1166</v>
      </c>
      <c r="F43" s="12" t="s">
        <v>653</v>
      </c>
      <c r="G43" s="21">
        <v>35718</v>
      </c>
      <c r="H43" s="16">
        <v>45444</v>
      </c>
      <c r="I43" s="18">
        <v>0</v>
      </c>
      <c r="J43" s="50">
        <v>0</v>
      </c>
      <c r="K43" s="50" t="s">
        <v>1133</v>
      </c>
      <c r="L43" s="50"/>
      <c r="M43" s="18" t="s">
        <v>180</v>
      </c>
      <c r="N43" s="83">
        <v>45444</v>
      </c>
      <c r="O43" s="18">
        <v>0</v>
      </c>
      <c r="P43" s="12">
        <v>0</v>
      </c>
      <c r="Q43" s="18"/>
      <c r="S43" s="18" t="s">
        <v>39</v>
      </c>
      <c r="T43" s="12" t="s">
        <v>40</v>
      </c>
      <c r="U43" s="18" t="str">
        <f t="shared" ca="1" si="5"/>
        <v>26 Tahun, 11 Bulan, 23 Hari</v>
      </c>
      <c r="V43" s="86" t="s">
        <v>837</v>
      </c>
      <c r="W43" s="88">
        <v>0</v>
      </c>
      <c r="X43" s="92">
        <v>45444</v>
      </c>
      <c r="Y43" s="21"/>
      <c r="Z43" s="18"/>
      <c r="AA43" s="18" t="s">
        <v>1167</v>
      </c>
    </row>
    <row r="44" spans="1:27" x14ac:dyDescent="0.35">
      <c r="A44" s="18">
        <v>10</v>
      </c>
      <c r="B44" s="78" t="s">
        <v>1170</v>
      </c>
      <c r="C44" s="32" t="s">
        <v>1171</v>
      </c>
      <c r="D44" s="12" t="s">
        <v>33</v>
      </c>
      <c r="E44" s="18" t="s">
        <v>1166</v>
      </c>
      <c r="F44" s="12" t="s">
        <v>1172</v>
      </c>
      <c r="G44" s="21">
        <v>35624</v>
      </c>
      <c r="H44" s="16">
        <v>45444</v>
      </c>
      <c r="I44" s="18">
        <v>0</v>
      </c>
      <c r="J44" s="50">
        <v>0</v>
      </c>
      <c r="K44" s="50" t="s">
        <v>1133</v>
      </c>
      <c r="L44" s="50"/>
      <c r="M44" s="18" t="s">
        <v>180</v>
      </c>
      <c r="N44" s="83">
        <v>45444</v>
      </c>
      <c r="O44" s="18">
        <v>0</v>
      </c>
      <c r="P44" s="12">
        <v>0</v>
      </c>
      <c r="Q44" s="18"/>
      <c r="S44" s="18" t="s">
        <v>220</v>
      </c>
      <c r="T44" s="12" t="s">
        <v>40</v>
      </c>
      <c r="U44" s="18" t="str">
        <f t="shared" ca="1" si="5"/>
        <v>27 Tahun, 2 Bulan, 25 Hari</v>
      </c>
      <c r="V44" s="86" t="s">
        <v>837</v>
      </c>
      <c r="W44" s="88">
        <v>0</v>
      </c>
      <c r="X44" s="92">
        <v>45444</v>
      </c>
      <c r="Y44" s="21"/>
      <c r="Z44" s="18"/>
      <c r="AA44" s="18" t="s">
        <v>1167</v>
      </c>
    </row>
    <row r="48" spans="1:27" x14ac:dyDescent="0.35">
      <c r="A48" s="46" t="str">
        <f>A30</f>
        <v>JURUSAN : LINGKUNGAN DAN KEHUTANAN</v>
      </c>
      <c r="B48" s="36"/>
      <c r="C48" s="36"/>
      <c r="D48" s="36"/>
    </row>
    <row r="49" spans="1:27" x14ac:dyDescent="0.35">
      <c r="A49" s="36" t="s">
        <v>382</v>
      </c>
    </row>
    <row r="50" spans="1:27" s="13" customFormat="1" ht="17" customHeight="1" x14ac:dyDescent="0.35">
      <c r="A50" s="233" t="s">
        <v>13</v>
      </c>
      <c r="B50" s="236" t="s">
        <v>14</v>
      </c>
      <c r="C50" s="245" t="s">
        <v>19</v>
      </c>
      <c r="D50" s="247" t="s">
        <v>15</v>
      </c>
      <c r="E50" s="233" t="s">
        <v>18</v>
      </c>
      <c r="F50" s="237" t="s">
        <v>16</v>
      </c>
      <c r="G50" s="233" t="s">
        <v>17</v>
      </c>
      <c r="H50" s="232" t="s">
        <v>36</v>
      </c>
      <c r="I50" s="249" t="s">
        <v>30</v>
      </c>
      <c r="J50" s="250"/>
      <c r="K50" s="224" t="s">
        <v>1215</v>
      </c>
      <c r="L50" s="230" t="s">
        <v>268</v>
      </c>
      <c r="M50" s="233" t="s">
        <v>20</v>
      </c>
      <c r="N50" s="311" t="s">
        <v>21</v>
      </c>
      <c r="O50" s="251" t="s">
        <v>29</v>
      </c>
      <c r="P50" s="252"/>
      <c r="Q50" s="233" t="s">
        <v>22</v>
      </c>
      <c r="R50" s="237" t="s">
        <v>23</v>
      </c>
      <c r="S50" s="51" t="s">
        <v>31</v>
      </c>
      <c r="T50" s="253" t="s">
        <v>25</v>
      </c>
      <c r="U50" s="233" t="s">
        <v>26</v>
      </c>
      <c r="V50" s="304" t="s">
        <v>258</v>
      </c>
      <c r="W50" s="312" t="s">
        <v>838</v>
      </c>
      <c r="X50" s="312" t="s">
        <v>839</v>
      </c>
      <c r="Y50" s="304" t="s">
        <v>840</v>
      </c>
      <c r="Z50" s="310" t="s">
        <v>841</v>
      </c>
      <c r="AA50" s="310" t="s">
        <v>852</v>
      </c>
    </row>
    <row r="51" spans="1:27" s="13" customFormat="1" x14ac:dyDescent="0.35">
      <c r="A51" s="233"/>
      <c r="B51" s="236"/>
      <c r="C51" s="246"/>
      <c r="D51" s="248"/>
      <c r="E51" s="233"/>
      <c r="F51" s="237"/>
      <c r="G51" s="233"/>
      <c r="H51" s="232"/>
      <c r="I51" s="51" t="s">
        <v>3</v>
      </c>
      <c r="J51" s="52" t="s">
        <v>4</v>
      </c>
      <c r="K51" s="225"/>
      <c r="L51" s="231"/>
      <c r="M51" s="233"/>
      <c r="N51" s="253"/>
      <c r="O51" s="51" t="s">
        <v>3</v>
      </c>
      <c r="P51" s="53" t="s">
        <v>4</v>
      </c>
      <c r="Q51" s="233"/>
      <c r="R51" s="237"/>
      <c r="S51" s="51" t="s">
        <v>24</v>
      </c>
      <c r="T51" s="253"/>
      <c r="U51" s="233"/>
      <c r="V51" s="305"/>
      <c r="W51" s="313"/>
      <c r="X51" s="313"/>
      <c r="Y51" s="305"/>
      <c r="Z51" s="310"/>
      <c r="AA51" s="310"/>
    </row>
    <row r="52" spans="1:27" s="61" customFormat="1" ht="13.5" thickBot="1" x14ac:dyDescent="0.4">
      <c r="A52" s="54">
        <v>1</v>
      </c>
      <c r="B52" s="55">
        <v>2</v>
      </c>
      <c r="C52" s="56">
        <v>3</v>
      </c>
      <c r="D52" s="57">
        <v>4</v>
      </c>
      <c r="E52" s="54">
        <v>5</v>
      </c>
      <c r="F52" s="57">
        <v>6</v>
      </c>
      <c r="G52" s="54">
        <v>7</v>
      </c>
      <c r="H52" s="58">
        <v>8</v>
      </c>
      <c r="I52" s="54">
        <v>9</v>
      </c>
      <c r="J52" s="54">
        <v>10</v>
      </c>
      <c r="K52" s="54"/>
      <c r="L52" s="54">
        <v>11</v>
      </c>
      <c r="M52" s="55">
        <v>12</v>
      </c>
      <c r="N52" s="82">
        <v>13</v>
      </c>
      <c r="O52" s="55">
        <v>14</v>
      </c>
      <c r="P52" s="54">
        <v>15</v>
      </c>
      <c r="Q52" s="55">
        <v>16</v>
      </c>
      <c r="R52" s="54">
        <v>17</v>
      </c>
      <c r="S52" s="55">
        <v>18</v>
      </c>
      <c r="T52" s="54">
        <v>19</v>
      </c>
      <c r="U52" s="55">
        <v>20</v>
      </c>
      <c r="V52" s="82">
        <v>21</v>
      </c>
      <c r="W52" s="89">
        <v>22</v>
      </c>
      <c r="X52" s="82">
        <v>23</v>
      </c>
      <c r="Y52" s="55">
        <v>24</v>
      </c>
      <c r="Z52" s="54">
        <v>25</v>
      </c>
      <c r="AA52" s="54">
        <v>26</v>
      </c>
    </row>
    <row r="53" spans="1:27" ht="16" thickTop="1" x14ac:dyDescent="0.35">
      <c r="A53" s="18">
        <v>1</v>
      </c>
      <c r="B53" s="15" t="s">
        <v>498</v>
      </c>
      <c r="C53" s="34" t="s">
        <v>1160</v>
      </c>
      <c r="D53" s="12" t="s">
        <v>629</v>
      </c>
      <c r="E53" s="18"/>
      <c r="F53" s="12" t="s">
        <v>35</v>
      </c>
      <c r="G53" s="21">
        <v>27535</v>
      </c>
      <c r="H53" s="16">
        <v>39783</v>
      </c>
      <c r="I53" s="18">
        <f ca="1">DATEDIF(H53,$A$5,"Y")</f>
        <v>15</v>
      </c>
      <c r="J53" s="50">
        <f ca="1">DATEDIF(H53,$A$5,"YM")</f>
        <v>10</v>
      </c>
      <c r="K53" s="50" t="s">
        <v>1133</v>
      </c>
      <c r="L53" s="49"/>
      <c r="M53" s="18" t="s">
        <v>178</v>
      </c>
      <c r="N53" s="83">
        <v>44287</v>
      </c>
      <c r="O53" s="18">
        <v>11</v>
      </c>
      <c r="P53" s="12">
        <v>4</v>
      </c>
      <c r="Q53" s="18" t="s">
        <v>782</v>
      </c>
      <c r="S53" s="18" t="s">
        <v>39</v>
      </c>
      <c r="T53" s="12" t="s">
        <v>40</v>
      </c>
      <c r="U53" s="18" t="str">
        <f t="shared" ref="U53:U59" ca="1" si="6">DATEDIF(G53,$A$5,"Y") &amp;" Tahun, "&amp;DATEDIF(G53,$A$5,"YM") &amp;" Bulan, "&amp;DATEDIF(G53,$A$5,"MD") &amp;" Hari"</f>
        <v>49 Tahun, 4 Bulan, 17 Hari</v>
      </c>
      <c r="V53" s="86" t="s">
        <v>836</v>
      </c>
      <c r="W53" s="88">
        <v>342.74</v>
      </c>
      <c r="X53" s="92">
        <v>42767</v>
      </c>
      <c r="Y53" s="21" t="s">
        <v>850</v>
      </c>
      <c r="Z53" s="18"/>
      <c r="AA53" s="18"/>
    </row>
    <row r="54" spans="1:27" x14ac:dyDescent="0.35">
      <c r="A54" s="18">
        <v>2</v>
      </c>
      <c r="B54" s="15" t="s">
        <v>502</v>
      </c>
      <c r="C54" s="31" t="s">
        <v>617</v>
      </c>
      <c r="D54" s="12" t="s">
        <v>33</v>
      </c>
      <c r="E54" s="18"/>
      <c r="F54" s="12" t="s">
        <v>35</v>
      </c>
      <c r="G54" s="21">
        <v>30145</v>
      </c>
      <c r="H54" s="16">
        <v>41730</v>
      </c>
      <c r="I54" s="18">
        <f ca="1">DATEDIF(H54,$A$5,"Y")</f>
        <v>10</v>
      </c>
      <c r="J54" s="50">
        <f ca="1">DATEDIF(H54,$A$5,"YM")</f>
        <v>6</v>
      </c>
      <c r="K54" s="50" t="s">
        <v>1133</v>
      </c>
      <c r="L54" s="50"/>
      <c r="M54" s="18" t="s">
        <v>179</v>
      </c>
      <c r="N54" s="83">
        <v>44652</v>
      </c>
      <c r="O54" s="18">
        <v>8</v>
      </c>
      <c r="P54" s="12">
        <v>0</v>
      </c>
      <c r="Q54" s="18" t="s">
        <v>783</v>
      </c>
      <c r="S54" s="18" t="s">
        <v>220</v>
      </c>
      <c r="T54" s="12" t="s">
        <v>40</v>
      </c>
      <c r="U54" s="18" t="str">
        <f t="shared" ca="1" si="6"/>
        <v>42 Tahun, 2 Bulan, 25 Hari</v>
      </c>
      <c r="V54" s="86" t="s">
        <v>836</v>
      </c>
      <c r="W54" s="88">
        <v>297.2</v>
      </c>
      <c r="X54" s="92">
        <v>44228</v>
      </c>
      <c r="Y54" s="21" t="s">
        <v>858</v>
      </c>
      <c r="Z54" s="18"/>
      <c r="AA54" s="18"/>
    </row>
    <row r="55" spans="1:27" x14ac:dyDescent="0.35">
      <c r="A55" s="18">
        <v>3</v>
      </c>
      <c r="B55" s="15" t="s">
        <v>505</v>
      </c>
      <c r="C55" s="31" t="s">
        <v>618</v>
      </c>
      <c r="D55" s="12" t="s">
        <v>33</v>
      </c>
      <c r="E55" s="18" t="s">
        <v>1135</v>
      </c>
      <c r="F55" s="12" t="s">
        <v>648</v>
      </c>
      <c r="G55" s="21">
        <v>34638</v>
      </c>
      <c r="H55" s="16">
        <v>44621</v>
      </c>
      <c r="I55" s="18">
        <f ca="1">DATEDIF(H55,$A$5,"Y")</f>
        <v>2</v>
      </c>
      <c r="J55" s="50">
        <f ca="1">DATEDIF(H55,$A$5,"YM")</f>
        <v>7</v>
      </c>
      <c r="K55" s="50" t="s">
        <v>1133</v>
      </c>
      <c r="L55" s="50"/>
      <c r="M55" s="18" t="s">
        <v>180</v>
      </c>
      <c r="N55" s="83">
        <v>44621</v>
      </c>
      <c r="O55" s="18"/>
      <c r="Q55" s="18"/>
      <c r="S55" s="18" t="s">
        <v>220</v>
      </c>
      <c r="T55" s="12" t="s">
        <v>40</v>
      </c>
      <c r="U55" s="18" t="str">
        <f t="shared" ca="1" si="6"/>
        <v>29 Tahun, 11 Bulan, 7 Hari</v>
      </c>
      <c r="V55" s="86" t="s">
        <v>837</v>
      </c>
      <c r="W55" s="88">
        <v>150</v>
      </c>
      <c r="X55" s="92">
        <v>45200</v>
      </c>
      <c r="Y55" s="21"/>
      <c r="Z55" s="18"/>
      <c r="AA55" s="18" t="s">
        <v>853</v>
      </c>
    </row>
    <row r="56" spans="1:27" x14ac:dyDescent="0.35">
      <c r="A56" s="18">
        <v>4</v>
      </c>
      <c r="B56" s="15" t="s">
        <v>506</v>
      </c>
      <c r="C56" s="31" t="s">
        <v>619</v>
      </c>
      <c r="D56" s="12" t="s">
        <v>33</v>
      </c>
      <c r="E56" s="18" t="s">
        <v>1135</v>
      </c>
      <c r="F56" s="12" t="s">
        <v>649</v>
      </c>
      <c r="G56" s="21">
        <v>34384</v>
      </c>
      <c r="H56" s="16">
        <v>44621</v>
      </c>
      <c r="I56" s="18">
        <f ca="1">DATEDIF(H56,$A$5,"Y")</f>
        <v>2</v>
      </c>
      <c r="J56" s="50">
        <f ca="1">DATEDIF(H56,$A$5,"YM")</f>
        <v>7</v>
      </c>
      <c r="K56" s="50" t="s">
        <v>1133</v>
      </c>
      <c r="L56" s="50"/>
      <c r="M56" s="18" t="s">
        <v>180</v>
      </c>
      <c r="N56" s="83">
        <v>44621</v>
      </c>
      <c r="O56" s="18"/>
      <c r="Q56" s="18"/>
      <c r="S56" s="18" t="s">
        <v>220</v>
      </c>
      <c r="T56" s="12" t="s">
        <v>219</v>
      </c>
      <c r="U56" s="18" t="str">
        <f t="shared" ca="1" si="6"/>
        <v>30 Tahun, 7 Bulan, 19 Hari</v>
      </c>
      <c r="V56" s="86" t="s">
        <v>837</v>
      </c>
      <c r="W56" s="88">
        <v>150</v>
      </c>
      <c r="X56" s="92">
        <v>45170</v>
      </c>
      <c r="Y56" s="21"/>
      <c r="Z56" s="18"/>
      <c r="AA56" s="18" t="s">
        <v>853</v>
      </c>
    </row>
    <row r="57" spans="1:27" x14ac:dyDescent="0.35">
      <c r="A57" s="18">
        <v>5</v>
      </c>
      <c r="B57" s="15" t="s">
        <v>1148</v>
      </c>
      <c r="C57" s="31" t="s">
        <v>1149</v>
      </c>
      <c r="D57" s="12" t="s">
        <v>33</v>
      </c>
      <c r="E57" s="18"/>
      <c r="F57" s="12" t="s">
        <v>171</v>
      </c>
      <c r="G57" s="21">
        <v>31603</v>
      </c>
      <c r="H57" s="16" t="s">
        <v>1143</v>
      </c>
      <c r="I57" s="18">
        <v>0</v>
      </c>
      <c r="J57" s="50">
        <v>0</v>
      </c>
      <c r="K57" s="50"/>
      <c r="L57" s="50"/>
      <c r="M57" s="18" t="s">
        <v>761</v>
      </c>
      <c r="N57" s="83">
        <v>45380</v>
      </c>
      <c r="O57" s="18">
        <v>0</v>
      </c>
      <c r="P57" s="12">
        <v>0</v>
      </c>
      <c r="Q57" s="18"/>
      <c r="S57" s="18" t="s">
        <v>220</v>
      </c>
      <c r="T57" s="12" t="s">
        <v>40</v>
      </c>
      <c r="U57" s="18" t="str">
        <f t="shared" ca="1" si="6"/>
        <v>38 Tahun, 2 Bulan, 28 Hari</v>
      </c>
      <c r="V57" s="86" t="s">
        <v>837</v>
      </c>
      <c r="W57" s="88">
        <v>0</v>
      </c>
      <c r="X57" s="92">
        <v>45383</v>
      </c>
      <c r="Y57" s="21"/>
      <c r="Z57" s="18"/>
      <c r="AA57" s="18" t="s">
        <v>1150</v>
      </c>
    </row>
    <row r="58" spans="1:27" x14ac:dyDescent="0.35">
      <c r="A58" s="18">
        <v>6</v>
      </c>
      <c r="B58" s="15" t="s">
        <v>1173</v>
      </c>
      <c r="C58" s="31" t="s">
        <v>1174</v>
      </c>
      <c r="D58" s="12" t="s">
        <v>33</v>
      </c>
      <c r="E58" s="18" t="s">
        <v>1175</v>
      </c>
      <c r="F58" s="12" t="s">
        <v>1176</v>
      </c>
      <c r="G58" s="21">
        <v>34699</v>
      </c>
      <c r="H58" s="16">
        <v>45444</v>
      </c>
      <c r="I58" s="18">
        <v>0</v>
      </c>
      <c r="J58" s="50">
        <v>0</v>
      </c>
      <c r="K58" s="50" t="s">
        <v>1133</v>
      </c>
      <c r="L58" s="50"/>
      <c r="M58" s="18" t="s">
        <v>180</v>
      </c>
      <c r="N58" s="83">
        <v>45444</v>
      </c>
      <c r="O58" s="18">
        <v>0</v>
      </c>
      <c r="P58" s="12">
        <v>0</v>
      </c>
      <c r="Q58" s="18"/>
      <c r="S58" s="18" t="s">
        <v>39</v>
      </c>
      <c r="T58" s="12" t="s">
        <v>40</v>
      </c>
      <c r="U58" s="18" t="str">
        <f t="shared" ca="1" si="6"/>
        <v>29 Tahun, 9 Bulan, 7 Hari</v>
      </c>
      <c r="V58" s="86" t="s">
        <v>837</v>
      </c>
      <c r="W58" s="88">
        <v>0</v>
      </c>
      <c r="X58" s="92">
        <v>45444</v>
      </c>
      <c r="Y58" s="21"/>
      <c r="Z58" s="18"/>
      <c r="AA58" s="18" t="s">
        <v>1167</v>
      </c>
    </row>
    <row r="59" spans="1:27" x14ac:dyDescent="0.35">
      <c r="A59" s="18">
        <v>7</v>
      </c>
      <c r="B59" s="15" t="s">
        <v>1177</v>
      </c>
      <c r="C59" s="31" t="s">
        <v>1178</v>
      </c>
      <c r="D59" s="12" t="s">
        <v>33</v>
      </c>
      <c r="E59" s="18" t="s">
        <v>1135</v>
      </c>
      <c r="F59" s="12" t="s">
        <v>1179</v>
      </c>
      <c r="G59" s="21">
        <v>34690</v>
      </c>
      <c r="H59" s="16">
        <v>45444</v>
      </c>
      <c r="I59" s="18">
        <v>0</v>
      </c>
      <c r="J59" s="50">
        <v>0</v>
      </c>
      <c r="K59" s="50" t="s">
        <v>1133</v>
      </c>
      <c r="L59" s="50"/>
      <c r="M59" s="18" t="s">
        <v>180</v>
      </c>
      <c r="N59" s="83">
        <v>45444</v>
      </c>
      <c r="O59" s="18">
        <v>0</v>
      </c>
      <c r="P59" s="12">
        <v>0</v>
      </c>
      <c r="Q59" s="18"/>
      <c r="S59" s="18" t="s">
        <v>39</v>
      </c>
      <c r="T59" s="12" t="s">
        <v>40</v>
      </c>
      <c r="U59" s="18" t="str">
        <f t="shared" ca="1" si="6"/>
        <v>29 Tahun, 9 Bulan, 16 Hari</v>
      </c>
      <c r="V59" s="86" t="s">
        <v>837</v>
      </c>
      <c r="W59" s="88">
        <v>0</v>
      </c>
      <c r="X59" s="92">
        <v>45444</v>
      </c>
      <c r="Y59" s="21"/>
      <c r="Z59" s="18"/>
      <c r="AA59" s="18" t="s">
        <v>1167</v>
      </c>
    </row>
    <row r="63" spans="1:27" x14ac:dyDescent="0.35">
      <c r="A63" s="46" t="str">
        <f>A7</f>
        <v>JURUSAN : LINGKUNGAN DAN KEHUTANAN</v>
      </c>
      <c r="B63" s="36"/>
      <c r="C63" s="36"/>
      <c r="D63" s="36"/>
    </row>
    <row r="64" spans="1:27" x14ac:dyDescent="0.35">
      <c r="A64" s="36" t="s">
        <v>507</v>
      </c>
    </row>
    <row r="65" spans="1:27" s="13" customFormat="1" ht="17" customHeight="1" x14ac:dyDescent="0.35">
      <c r="A65" s="233" t="s">
        <v>13</v>
      </c>
      <c r="B65" s="236" t="s">
        <v>14</v>
      </c>
      <c r="C65" s="245" t="s">
        <v>19</v>
      </c>
      <c r="D65" s="247" t="s">
        <v>15</v>
      </c>
      <c r="E65" s="233" t="s">
        <v>18</v>
      </c>
      <c r="F65" s="237" t="s">
        <v>16</v>
      </c>
      <c r="G65" s="233" t="s">
        <v>17</v>
      </c>
      <c r="H65" s="232" t="s">
        <v>36</v>
      </c>
      <c r="I65" s="249" t="s">
        <v>30</v>
      </c>
      <c r="J65" s="250"/>
      <c r="K65" s="224" t="s">
        <v>1215</v>
      </c>
      <c r="L65" s="230" t="s">
        <v>268</v>
      </c>
      <c r="M65" s="233" t="s">
        <v>20</v>
      </c>
      <c r="N65" s="311" t="s">
        <v>21</v>
      </c>
      <c r="O65" s="251" t="s">
        <v>29</v>
      </c>
      <c r="P65" s="252"/>
      <c r="Q65" s="233" t="s">
        <v>22</v>
      </c>
      <c r="R65" s="237" t="s">
        <v>23</v>
      </c>
      <c r="S65" s="51" t="s">
        <v>31</v>
      </c>
      <c r="T65" s="253" t="s">
        <v>25</v>
      </c>
      <c r="U65" s="233" t="s">
        <v>26</v>
      </c>
      <c r="V65" s="304" t="s">
        <v>258</v>
      </c>
      <c r="W65" s="312" t="s">
        <v>838</v>
      </c>
      <c r="X65" s="312" t="s">
        <v>839</v>
      </c>
      <c r="Y65" s="304" t="s">
        <v>840</v>
      </c>
      <c r="Z65" s="310" t="s">
        <v>841</v>
      </c>
      <c r="AA65" s="310" t="s">
        <v>852</v>
      </c>
    </row>
    <row r="66" spans="1:27" s="13" customFormat="1" x14ac:dyDescent="0.35">
      <c r="A66" s="233"/>
      <c r="B66" s="236"/>
      <c r="C66" s="246"/>
      <c r="D66" s="248"/>
      <c r="E66" s="233"/>
      <c r="F66" s="237"/>
      <c r="G66" s="233"/>
      <c r="H66" s="232"/>
      <c r="I66" s="51" t="s">
        <v>3</v>
      </c>
      <c r="J66" s="52" t="s">
        <v>4</v>
      </c>
      <c r="K66" s="225"/>
      <c r="L66" s="231"/>
      <c r="M66" s="233"/>
      <c r="N66" s="253"/>
      <c r="O66" s="51" t="s">
        <v>3</v>
      </c>
      <c r="P66" s="53" t="s">
        <v>4</v>
      </c>
      <c r="Q66" s="233"/>
      <c r="R66" s="237"/>
      <c r="S66" s="51" t="s">
        <v>24</v>
      </c>
      <c r="T66" s="253"/>
      <c r="U66" s="233"/>
      <c r="V66" s="305"/>
      <c r="W66" s="313"/>
      <c r="X66" s="313"/>
      <c r="Y66" s="305"/>
      <c r="Z66" s="310"/>
      <c r="AA66" s="310"/>
    </row>
    <row r="67" spans="1:27" s="61" customFormat="1" ht="13.5" thickBot="1" x14ac:dyDescent="0.4">
      <c r="A67" s="54">
        <v>1</v>
      </c>
      <c r="B67" s="55">
        <v>2</v>
      </c>
      <c r="C67" s="56">
        <v>3</v>
      </c>
      <c r="D67" s="57">
        <v>4</v>
      </c>
      <c r="E67" s="54">
        <v>5</v>
      </c>
      <c r="F67" s="57">
        <v>6</v>
      </c>
      <c r="G67" s="54">
        <v>7</v>
      </c>
      <c r="H67" s="58">
        <v>8</v>
      </c>
      <c r="I67" s="54">
        <v>9</v>
      </c>
      <c r="J67" s="54">
        <v>10</v>
      </c>
      <c r="K67" s="54"/>
      <c r="L67" s="54">
        <v>11</v>
      </c>
      <c r="M67" s="55">
        <v>12</v>
      </c>
      <c r="N67" s="82">
        <v>13</v>
      </c>
      <c r="O67" s="55">
        <v>14</v>
      </c>
      <c r="P67" s="54">
        <v>15</v>
      </c>
      <c r="Q67" s="55">
        <v>16</v>
      </c>
      <c r="R67" s="54">
        <v>17</v>
      </c>
      <c r="S67" s="55">
        <v>18</v>
      </c>
      <c r="T67" s="54">
        <v>19</v>
      </c>
      <c r="U67" s="55">
        <v>20</v>
      </c>
      <c r="V67" s="82">
        <v>21</v>
      </c>
      <c r="W67" s="89">
        <v>22</v>
      </c>
      <c r="X67" s="82">
        <v>23</v>
      </c>
      <c r="Y67" s="55">
        <v>24</v>
      </c>
      <c r="Z67" s="54">
        <v>25</v>
      </c>
      <c r="AA67" s="54">
        <v>26</v>
      </c>
    </row>
    <row r="68" spans="1:27" ht="16" thickTop="1" x14ac:dyDescent="0.35">
      <c r="A68" s="18">
        <v>1</v>
      </c>
      <c r="B68" s="78" t="s">
        <v>508</v>
      </c>
      <c r="C68" s="31" t="s">
        <v>620</v>
      </c>
      <c r="D68" s="12" t="s">
        <v>629</v>
      </c>
      <c r="E68" s="18"/>
      <c r="F68" s="12" t="s">
        <v>650</v>
      </c>
      <c r="G68" s="21">
        <v>24999</v>
      </c>
      <c r="H68" s="16">
        <v>35034</v>
      </c>
      <c r="I68" s="18">
        <f t="shared" ref="I68:I73" ca="1" si="7">DATEDIF(H68,$A$5,"Y")</f>
        <v>28</v>
      </c>
      <c r="J68" s="50">
        <f t="shared" ref="J68:J74" ca="1" si="8">DATEDIF(H68,$A$5,"YM")</f>
        <v>10</v>
      </c>
      <c r="K68" s="50" t="s">
        <v>1133</v>
      </c>
      <c r="L68" s="50"/>
      <c r="M68" s="18" t="s">
        <v>760</v>
      </c>
      <c r="N68" s="83">
        <v>42095</v>
      </c>
      <c r="O68" s="18">
        <v>19</v>
      </c>
      <c r="P68" s="12">
        <v>4</v>
      </c>
      <c r="Q68" s="18" t="s">
        <v>784</v>
      </c>
      <c r="S68" s="18" t="s">
        <v>39</v>
      </c>
      <c r="T68" s="12" t="s">
        <v>40</v>
      </c>
      <c r="U68" s="18" t="str">
        <f t="shared" ref="U68:U78" ca="1" si="9">DATEDIF(G68,$A$5,"Y") &amp;" Tahun, "&amp;DATEDIF(G68,$A$5,"YM") &amp;" Bulan, "&amp;DATEDIF(G68,$A$5,"MD") &amp;" Hari"</f>
        <v>56 Tahun, 3 Bulan, 28 Hari</v>
      </c>
      <c r="V68" s="86" t="s">
        <v>835</v>
      </c>
      <c r="W68" s="88">
        <v>820</v>
      </c>
      <c r="X68" s="92">
        <v>40422</v>
      </c>
      <c r="Y68" s="21" t="s">
        <v>859</v>
      </c>
      <c r="Z68" s="21">
        <v>44957</v>
      </c>
      <c r="AA68" s="18"/>
    </row>
    <row r="69" spans="1:27" x14ac:dyDescent="0.35">
      <c r="A69" s="18">
        <v>2</v>
      </c>
      <c r="B69" s="78" t="s">
        <v>509</v>
      </c>
      <c r="C69" s="31" t="s">
        <v>621</v>
      </c>
      <c r="D69" s="12" t="s">
        <v>629</v>
      </c>
      <c r="E69" s="18" t="s">
        <v>309</v>
      </c>
      <c r="F69" s="12" t="s">
        <v>644</v>
      </c>
      <c r="G69" s="21">
        <v>22262</v>
      </c>
      <c r="H69" s="16">
        <v>32568</v>
      </c>
      <c r="I69" s="18">
        <f t="shared" ca="1" si="7"/>
        <v>35</v>
      </c>
      <c r="J69" s="50">
        <f t="shared" ca="1" si="8"/>
        <v>7</v>
      </c>
      <c r="K69" s="50" t="s">
        <v>1133</v>
      </c>
      <c r="L69" s="50"/>
      <c r="M69" s="18" t="s">
        <v>760</v>
      </c>
      <c r="N69" s="83">
        <v>43009</v>
      </c>
      <c r="O69" s="18">
        <v>28</v>
      </c>
      <c r="P69" s="12">
        <v>7</v>
      </c>
      <c r="Q69" s="18" t="s">
        <v>785</v>
      </c>
      <c r="S69" s="18" t="s">
        <v>39</v>
      </c>
      <c r="T69" s="12" t="s">
        <v>40</v>
      </c>
      <c r="U69" s="18" t="str">
        <f t="shared" ca="1" si="9"/>
        <v>63 Tahun, 9 Bulan, 26 Hari</v>
      </c>
      <c r="V69" s="86" t="s">
        <v>835</v>
      </c>
      <c r="W69" s="88">
        <v>796.95</v>
      </c>
      <c r="X69" s="92">
        <v>42125</v>
      </c>
      <c r="Y69" s="21"/>
      <c r="Z69" s="18"/>
      <c r="AA69" s="18"/>
    </row>
    <row r="70" spans="1:27" x14ac:dyDescent="0.35">
      <c r="A70" s="18">
        <v>3</v>
      </c>
      <c r="B70" s="78" t="s">
        <v>510</v>
      </c>
      <c r="C70" s="31" t="s">
        <v>622</v>
      </c>
      <c r="D70" s="12" t="s">
        <v>33</v>
      </c>
      <c r="E70" s="18" t="s">
        <v>307</v>
      </c>
      <c r="F70" s="12" t="s">
        <v>171</v>
      </c>
      <c r="G70" s="21">
        <v>27614</v>
      </c>
      <c r="H70" s="16">
        <v>36220</v>
      </c>
      <c r="I70" s="18">
        <f t="shared" ca="1" si="7"/>
        <v>25</v>
      </c>
      <c r="J70" s="50">
        <f t="shared" ca="1" si="8"/>
        <v>7</v>
      </c>
      <c r="K70" s="50" t="s">
        <v>1133</v>
      </c>
      <c r="L70" s="50"/>
      <c r="M70" s="18" t="s">
        <v>760</v>
      </c>
      <c r="N70" s="83">
        <v>43009</v>
      </c>
      <c r="O70" s="18">
        <v>18</v>
      </c>
      <c r="P70" s="12">
        <v>7</v>
      </c>
      <c r="Q70" s="18"/>
      <c r="S70" s="18" t="s">
        <v>220</v>
      </c>
      <c r="T70" s="12" t="s">
        <v>40</v>
      </c>
      <c r="U70" s="18" t="str">
        <f t="shared" ca="1" si="9"/>
        <v>49 Tahun, 2 Bulan, 0 Hari</v>
      </c>
      <c r="V70" s="86" t="s">
        <v>835</v>
      </c>
      <c r="W70" s="88">
        <v>705.2</v>
      </c>
      <c r="X70" s="92">
        <v>42095</v>
      </c>
      <c r="Y70" s="80" t="s">
        <v>860</v>
      </c>
      <c r="Z70" s="21">
        <v>44874</v>
      </c>
      <c r="AA70" s="18"/>
    </row>
    <row r="71" spans="1:27" x14ac:dyDescent="0.35">
      <c r="A71" s="18">
        <v>4</v>
      </c>
      <c r="B71" s="78" t="s">
        <v>511</v>
      </c>
      <c r="C71" s="31" t="s">
        <v>623</v>
      </c>
      <c r="D71" s="12" t="s">
        <v>33</v>
      </c>
      <c r="E71" s="18" t="s">
        <v>307</v>
      </c>
      <c r="F71" s="12" t="s">
        <v>641</v>
      </c>
      <c r="G71" s="21">
        <v>21900</v>
      </c>
      <c r="H71" s="16">
        <v>32568</v>
      </c>
      <c r="I71" s="18">
        <f t="shared" ca="1" si="7"/>
        <v>35</v>
      </c>
      <c r="J71" s="50">
        <f t="shared" ca="1" si="8"/>
        <v>7</v>
      </c>
      <c r="K71" s="50" t="s">
        <v>1133</v>
      </c>
      <c r="L71" s="50"/>
      <c r="M71" s="18" t="s">
        <v>37</v>
      </c>
      <c r="N71" s="83">
        <v>42095</v>
      </c>
      <c r="O71" s="18">
        <v>26</v>
      </c>
      <c r="P71" s="12">
        <v>1</v>
      </c>
      <c r="Q71" s="18" t="s">
        <v>786</v>
      </c>
      <c r="S71" s="18" t="s">
        <v>39</v>
      </c>
      <c r="T71" s="12" t="s">
        <v>40</v>
      </c>
      <c r="U71" s="18" t="str">
        <f t="shared" ca="1" si="9"/>
        <v>64 Tahun, 9 Bulan, 22 Hari</v>
      </c>
      <c r="V71" s="86" t="s">
        <v>835</v>
      </c>
      <c r="W71" s="88">
        <v>560.79999999999995</v>
      </c>
      <c r="X71" s="92">
        <v>41944</v>
      </c>
      <c r="Y71" s="21" t="s">
        <v>861</v>
      </c>
      <c r="Z71" s="21">
        <v>44957</v>
      </c>
      <c r="AA71" s="18"/>
    </row>
    <row r="72" spans="1:27" x14ac:dyDescent="0.35">
      <c r="A72" s="18">
        <v>5</v>
      </c>
      <c r="B72" s="78" t="s">
        <v>512</v>
      </c>
      <c r="C72" s="31" t="s">
        <v>624</v>
      </c>
      <c r="D72" s="12" t="s">
        <v>629</v>
      </c>
      <c r="E72" s="18" t="s">
        <v>307</v>
      </c>
      <c r="F72" s="12" t="s">
        <v>651</v>
      </c>
      <c r="G72" s="21">
        <v>27633</v>
      </c>
      <c r="H72" s="16">
        <v>36220</v>
      </c>
      <c r="I72" s="18">
        <f t="shared" ca="1" si="7"/>
        <v>25</v>
      </c>
      <c r="J72" s="50">
        <f t="shared" ca="1" si="8"/>
        <v>7</v>
      </c>
      <c r="K72" s="50" t="s">
        <v>1133</v>
      </c>
      <c r="L72" s="50"/>
      <c r="M72" s="18" t="s">
        <v>37</v>
      </c>
      <c r="N72" s="83">
        <v>43374</v>
      </c>
      <c r="O72" s="18">
        <v>16</v>
      </c>
      <c r="P72" s="12">
        <v>1</v>
      </c>
      <c r="Q72" s="18"/>
      <c r="S72" s="18" t="s">
        <v>39</v>
      </c>
      <c r="T72" s="12" t="s">
        <v>40</v>
      </c>
      <c r="U72" s="18" t="str">
        <f t="shared" ca="1" si="9"/>
        <v>49 Tahun, 1 Bulan, 11 Hari</v>
      </c>
      <c r="V72" s="86" t="s">
        <v>835</v>
      </c>
      <c r="W72" s="88">
        <v>625.83000000000004</v>
      </c>
      <c r="X72" s="92">
        <v>42309</v>
      </c>
      <c r="Y72" s="80" t="s">
        <v>862</v>
      </c>
      <c r="Z72" s="18"/>
      <c r="AA72" s="18"/>
    </row>
    <row r="73" spans="1:27" x14ac:dyDescent="0.35">
      <c r="A73" s="18">
        <v>6</v>
      </c>
      <c r="B73" s="78" t="s">
        <v>513</v>
      </c>
      <c r="C73" s="31" t="s">
        <v>625</v>
      </c>
      <c r="D73" s="12" t="s">
        <v>629</v>
      </c>
      <c r="E73" s="18" t="s">
        <v>307</v>
      </c>
      <c r="F73" s="12" t="s">
        <v>652</v>
      </c>
      <c r="G73" s="21">
        <v>26444</v>
      </c>
      <c r="H73" s="16">
        <v>37591</v>
      </c>
      <c r="I73" s="18">
        <f t="shared" ca="1" si="7"/>
        <v>21</v>
      </c>
      <c r="J73" s="50">
        <f t="shared" ca="1" si="8"/>
        <v>10</v>
      </c>
      <c r="K73" s="50" t="s">
        <v>1133</v>
      </c>
      <c r="L73" s="50"/>
      <c r="M73" s="18" t="s">
        <v>177</v>
      </c>
      <c r="N73" s="83">
        <v>42278</v>
      </c>
      <c r="O73" s="18">
        <v>12</v>
      </c>
      <c r="P73" s="12">
        <v>10</v>
      </c>
      <c r="Q73" s="18" t="s">
        <v>787</v>
      </c>
      <c r="S73" s="18" t="s">
        <v>220</v>
      </c>
      <c r="T73" s="12" t="s">
        <v>219</v>
      </c>
      <c r="U73" s="18" t="str">
        <f t="shared" ca="1" si="9"/>
        <v>52 Tahun, 4 Bulan, 13 Hari</v>
      </c>
      <c r="V73" s="86" t="s">
        <v>835</v>
      </c>
      <c r="W73" s="88">
        <v>454</v>
      </c>
      <c r="X73" s="92">
        <v>40299</v>
      </c>
      <c r="Y73" s="21" t="s">
        <v>863</v>
      </c>
      <c r="Z73" s="21">
        <v>44957</v>
      </c>
      <c r="AA73" s="18"/>
    </row>
    <row r="74" spans="1:27" x14ac:dyDescent="0.35">
      <c r="A74" s="18">
        <v>7</v>
      </c>
      <c r="B74" s="78" t="s">
        <v>514</v>
      </c>
      <c r="C74" s="31" t="s">
        <v>626</v>
      </c>
      <c r="D74" s="12" t="s">
        <v>33</v>
      </c>
      <c r="E74" s="18"/>
      <c r="F74" s="12" t="s">
        <v>653</v>
      </c>
      <c r="G74" s="21">
        <v>32807</v>
      </c>
      <c r="H74" s="16">
        <v>44621</v>
      </c>
      <c r="I74" s="18">
        <f ca="1">DATEDIF(H74,$A$5,"Y")</f>
        <v>2</v>
      </c>
      <c r="J74" s="50">
        <f t="shared" ca="1" si="8"/>
        <v>7</v>
      </c>
      <c r="K74" s="50" t="s">
        <v>1133</v>
      </c>
      <c r="L74" s="50"/>
      <c r="M74" s="18" t="s">
        <v>180</v>
      </c>
      <c r="N74" s="83">
        <v>44621</v>
      </c>
      <c r="O74" s="18"/>
      <c r="Q74" s="18"/>
      <c r="S74" s="18" t="s">
        <v>39</v>
      </c>
      <c r="T74" s="12" t="s">
        <v>40</v>
      </c>
      <c r="U74" s="18" t="str">
        <f t="shared" ca="1" si="9"/>
        <v>34 Tahun, 11 Bulan, 12 Hari</v>
      </c>
      <c r="V74" s="86" t="s">
        <v>837</v>
      </c>
      <c r="W74" s="88">
        <v>150</v>
      </c>
      <c r="X74" s="92">
        <v>45170</v>
      </c>
      <c r="Y74" s="21"/>
      <c r="Z74" s="18"/>
      <c r="AA74" s="18" t="s">
        <v>853</v>
      </c>
    </row>
    <row r="75" spans="1:27" x14ac:dyDescent="0.35">
      <c r="A75" s="18">
        <v>8</v>
      </c>
      <c r="B75" s="78" t="s">
        <v>515</v>
      </c>
      <c r="C75" s="31" t="s">
        <v>627</v>
      </c>
      <c r="D75" s="12" t="s">
        <v>33</v>
      </c>
      <c r="E75" s="18"/>
      <c r="F75" s="12" t="s">
        <v>654</v>
      </c>
      <c r="G75" s="21">
        <v>32242</v>
      </c>
      <c r="H75" s="16" t="s">
        <v>757</v>
      </c>
      <c r="I75" s="18"/>
      <c r="J75" s="50"/>
      <c r="K75" s="50" t="s">
        <v>1133</v>
      </c>
      <c r="L75" s="50"/>
      <c r="M75" s="18" t="s">
        <v>761</v>
      </c>
      <c r="N75" s="83">
        <v>45139</v>
      </c>
      <c r="O75" s="18"/>
      <c r="Q75" s="18"/>
      <c r="S75" s="18" t="s">
        <v>39</v>
      </c>
      <c r="T75" s="12" t="s">
        <v>40</v>
      </c>
      <c r="U75" s="18" t="str">
        <f t="shared" ca="1" si="9"/>
        <v>36 Tahun, 5 Bulan, 29 Hari</v>
      </c>
      <c r="V75" s="86" t="s">
        <v>837</v>
      </c>
      <c r="W75" s="88">
        <v>0</v>
      </c>
      <c r="X75" s="92">
        <v>45139</v>
      </c>
      <c r="Y75" s="21"/>
      <c r="Z75" s="18"/>
      <c r="AA75" s="18" t="s">
        <v>864</v>
      </c>
    </row>
    <row r="76" spans="1:27" x14ac:dyDescent="0.35">
      <c r="A76" s="18">
        <v>9</v>
      </c>
      <c r="B76" s="78" t="s">
        <v>516</v>
      </c>
      <c r="C76" s="31" t="s">
        <v>628</v>
      </c>
      <c r="D76" s="12" t="s">
        <v>33</v>
      </c>
      <c r="E76" s="18"/>
      <c r="F76" s="12" t="s">
        <v>166</v>
      </c>
      <c r="G76" s="21">
        <v>33790</v>
      </c>
      <c r="H76" s="16" t="s">
        <v>757</v>
      </c>
      <c r="I76" s="18"/>
      <c r="J76" s="50"/>
      <c r="K76" s="50" t="s">
        <v>1133</v>
      </c>
      <c r="L76" s="50"/>
      <c r="M76" s="18" t="s">
        <v>761</v>
      </c>
      <c r="N76" s="83">
        <v>45139</v>
      </c>
      <c r="O76" s="18"/>
      <c r="Q76" s="18"/>
      <c r="S76" s="18" t="s">
        <v>220</v>
      </c>
      <c r="T76" s="12" t="s">
        <v>40</v>
      </c>
      <c r="U76" s="18" t="str">
        <f t="shared" ca="1" si="9"/>
        <v>32 Tahun, 3 Bulan, 3 Hari</v>
      </c>
      <c r="V76" s="86" t="s">
        <v>837</v>
      </c>
      <c r="W76" s="88">
        <v>0</v>
      </c>
      <c r="X76" s="92">
        <v>45139</v>
      </c>
      <c r="Y76" s="21"/>
      <c r="Z76" s="18"/>
      <c r="AA76" s="18" t="s">
        <v>864</v>
      </c>
    </row>
    <row r="77" spans="1:27" x14ac:dyDescent="0.35">
      <c r="A77" s="18">
        <v>10</v>
      </c>
      <c r="B77" s="78" t="s">
        <v>1152</v>
      </c>
      <c r="C77" s="31" t="s">
        <v>1153</v>
      </c>
      <c r="D77" s="12" t="s">
        <v>33</v>
      </c>
      <c r="E77" s="18"/>
      <c r="F77" s="12" t="s">
        <v>634</v>
      </c>
      <c r="G77" s="21">
        <v>28891</v>
      </c>
      <c r="H77" s="16" t="s">
        <v>1143</v>
      </c>
      <c r="I77" s="18">
        <v>0</v>
      </c>
      <c r="J77" s="50">
        <v>0</v>
      </c>
      <c r="K77" s="50" t="s">
        <v>1133</v>
      </c>
      <c r="L77" s="50"/>
      <c r="M77" s="18" t="s">
        <v>761</v>
      </c>
      <c r="N77" s="83">
        <v>45380</v>
      </c>
      <c r="O77" s="18"/>
      <c r="Q77" s="18"/>
      <c r="S77" s="18" t="s">
        <v>39</v>
      </c>
      <c r="T77" s="12" t="s">
        <v>40</v>
      </c>
      <c r="U77" s="18" t="str">
        <f t="shared" ca="1" si="9"/>
        <v>45 Tahun, 8 Bulan, 3 Hari</v>
      </c>
      <c r="V77" s="86" t="s">
        <v>837</v>
      </c>
      <c r="W77" s="88">
        <v>0</v>
      </c>
      <c r="X77" s="92">
        <v>45383</v>
      </c>
      <c r="Y77" s="21"/>
      <c r="Z77" s="18"/>
      <c r="AA77" s="18" t="s">
        <v>1151</v>
      </c>
    </row>
    <row r="78" spans="1:27" x14ac:dyDescent="0.35">
      <c r="A78" s="18">
        <v>11</v>
      </c>
      <c r="B78" s="78" t="s">
        <v>1203</v>
      </c>
      <c r="C78" s="31" t="s">
        <v>1186</v>
      </c>
      <c r="D78" s="12" t="s">
        <v>33</v>
      </c>
      <c r="E78" s="18" t="s">
        <v>1187</v>
      </c>
      <c r="F78" s="12" t="s">
        <v>35</v>
      </c>
      <c r="G78" s="21">
        <v>35606</v>
      </c>
      <c r="H78" s="16">
        <v>45444</v>
      </c>
      <c r="I78" s="18">
        <v>0</v>
      </c>
      <c r="J78" s="50">
        <v>0</v>
      </c>
      <c r="K78" s="50" t="s">
        <v>1133</v>
      </c>
      <c r="L78" s="50"/>
      <c r="M78" s="18" t="s">
        <v>180</v>
      </c>
      <c r="N78" s="83">
        <v>45444</v>
      </c>
      <c r="O78" s="18">
        <v>0</v>
      </c>
      <c r="P78" s="12">
        <v>0</v>
      </c>
      <c r="Q78" s="18"/>
      <c r="S78" s="18" t="s">
        <v>220</v>
      </c>
      <c r="T78" s="12" t="s">
        <v>40</v>
      </c>
      <c r="U78" s="18" t="str">
        <f t="shared" ca="1" si="9"/>
        <v>27 Tahun, 3 Bulan, 13 Hari</v>
      </c>
      <c r="V78" s="86" t="s">
        <v>837</v>
      </c>
      <c r="W78" s="88">
        <v>0</v>
      </c>
      <c r="X78" s="92">
        <v>45444</v>
      </c>
      <c r="Y78" s="21"/>
      <c r="Z78" s="18"/>
      <c r="AA78" s="18" t="s">
        <v>1167</v>
      </c>
    </row>
    <row r="79" spans="1:27" x14ac:dyDescent="0.35">
      <c r="A79" s="18">
        <v>12</v>
      </c>
      <c r="B79" s="78" t="s">
        <v>1188</v>
      </c>
      <c r="C79" s="31" t="s">
        <v>1189</v>
      </c>
      <c r="D79" s="12" t="s">
        <v>33</v>
      </c>
      <c r="E79" s="18" t="s">
        <v>1190</v>
      </c>
      <c r="F79" s="12" t="s">
        <v>1191</v>
      </c>
      <c r="G79" s="21">
        <v>33509</v>
      </c>
      <c r="H79" s="16">
        <v>45444</v>
      </c>
      <c r="I79" s="18">
        <v>0</v>
      </c>
      <c r="J79" s="50">
        <v>0</v>
      </c>
      <c r="K79" s="50" t="s">
        <v>1133</v>
      </c>
      <c r="L79" s="50"/>
      <c r="M79" s="18" t="s">
        <v>180</v>
      </c>
      <c r="N79" s="83">
        <v>45444</v>
      </c>
      <c r="O79" s="18">
        <v>0</v>
      </c>
      <c r="P79" s="12">
        <v>0</v>
      </c>
      <c r="Q79" s="18"/>
      <c r="S79" s="18" t="s">
        <v>39</v>
      </c>
      <c r="T79" s="12" t="s">
        <v>40</v>
      </c>
      <c r="U79" s="18" t="str">
        <f ca="1">DATEDIF(G79,$A$5,"Y") &amp;" Tahun, "&amp;DATEDIF(G79,$A$5,"YM") &amp;" Bulan, "&amp;DATEDIF(G79,$A$5,"MD") &amp;" Hari"</f>
        <v>33 Tahun, 0 Bulan, 10 Hari</v>
      </c>
      <c r="V79" s="86" t="s">
        <v>837</v>
      </c>
      <c r="W79" s="88">
        <v>0</v>
      </c>
      <c r="X79" s="92">
        <v>45444</v>
      </c>
      <c r="Y79" s="21"/>
      <c r="Z79" s="18"/>
      <c r="AA79" s="18" t="s">
        <v>1167</v>
      </c>
    </row>
    <row r="80" spans="1:27" x14ac:dyDescent="0.35">
      <c r="C80" s="62"/>
      <c r="G80" s="16"/>
      <c r="H80" s="16"/>
      <c r="N80" s="83"/>
      <c r="X80" s="83"/>
      <c r="Y80" s="16"/>
    </row>
    <row r="81" spans="1:27" x14ac:dyDescent="0.35">
      <c r="C81" s="62"/>
      <c r="G81" s="16"/>
      <c r="H81" s="16"/>
      <c r="N81" s="83"/>
      <c r="X81" s="83"/>
      <c r="Y81" s="16"/>
    </row>
    <row r="82" spans="1:27" x14ac:dyDescent="0.35">
      <c r="C82" s="62"/>
    </row>
    <row r="83" spans="1:27" x14ac:dyDescent="0.35">
      <c r="A83" s="46" t="str">
        <f>A7</f>
        <v>JURUSAN : LINGKUNGAN DAN KEHUTANAN</v>
      </c>
      <c r="B83" s="36"/>
      <c r="C83" s="36"/>
      <c r="D83" s="36"/>
    </row>
    <row r="84" spans="1:27" x14ac:dyDescent="0.35">
      <c r="A84" s="36" t="s">
        <v>517</v>
      </c>
    </row>
    <row r="85" spans="1:27" s="13" customFormat="1" ht="17" customHeight="1" x14ac:dyDescent="0.35">
      <c r="A85" s="233" t="s">
        <v>13</v>
      </c>
      <c r="B85" s="236" t="s">
        <v>14</v>
      </c>
      <c r="C85" s="245" t="s">
        <v>19</v>
      </c>
      <c r="D85" s="314" t="s">
        <v>15</v>
      </c>
      <c r="E85" s="233" t="s">
        <v>18</v>
      </c>
      <c r="F85" s="237" t="s">
        <v>16</v>
      </c>
      <c r="G85" s="233" t="s">
        <v>17</v>
      </c>
      <c r="H85" s="232" t="s">
        <v>36</v>
      </c>
      <c r="I85" s="249" t="s">
        <v>30</v>
      </c>
      <c r="J85" s="250"/>
      <c r="K85" s="224" t="s">
        <v>1215</v>
      </c>
      <c r="L85" s="230" t="s">
        <v>268</v>
      </c>
      <c r="M85" s="233" t="s">
        <v>20</v>
      </c>
      <c r="N85" s="311" t="s">
        <v>21</v>
      </c>
      <c r="O85" s="251" t="s">
        <v>29</v>
      </c>
      <c r="P85" s="252"/>
      <c r="Q85" s="233" t="s">
        <v>22</v>
      </c>
      <c r="R85" s="237" t="s">
        <v>23</v>
      </c>
      <c r="S85" s="51" t="s">
        <v>31</v>
      </c>
      <c r="T85" s="253" t="s">
        <v>25</v>
      </c>
      <c r="U85" s="233" t="s">
        <v>26</v>
      </c>
      <c r="V85" s="304" t="s">
        <v>258</v>
      </c>
      <c r="W85" s="312" t="s">
        <v>838</v>
      </c>
      <c r="X85" s="312" t="s">
        <v>839</v>
      </c>
      <c r="Y85" s="304" t="s">
        <v>840</v>
      </c>
      <c r="Z85" s="310" t="s">
        <v>841</v>
      </c>
      <c r="AA85" s="310" t="s">
        <v>852</v>
      </c>
    </row>
    <row r="86" spans="1:27" s="13" customFormat="1" x14ac:dyDescent="0.35">
      <c r="A86" s="233"/>
      <c r="B86" s="236"/>
      <c r="C86" s="246"/>
      <c r="D86" s="315"/>
      <c r="E86" s="233"/>
      <c r="F86" s="237"/>
      <c r="G86" s="233"/>
      <c r="H86" s="232"/>
      <c r="I86" s="51" t="s">
        <v>3</v>
      </c>
      <c r="J86" s="52" t="s">
        <v>4</v>
      </c>
      <c r="K86" s="225"/>
      <c r="L86" s="231"/>
      <c r="M86" s="233"/>
      <c r="N86" s="253"/>
      <c r="O86" s="51" t="s">
        <v>3</v>
      </c>
      <c r="P86" s="53" t="s">
        <v>4</v>
      </c>
      <c r="Q86" s="233"/>
      <c r="R86" s="237"/>
      <c r="S86" s="51" t="s">
        <v>24</v>
      </c>
      <c r="T86" s="253"/>
      <c r="U86" s="233"/>
      <c r="V86" s="305"/>
      <c r="W86" s="313"/>
      <c r="X86" s="313"/>
      <c r="Y86" s="305"/>
      <c r="Z86" s="310"/>
      <c r="AA86" s="310"/>
    </row>
    <row r="87" spans="1:27" s="61" customFormat="1" ht="13.5" thickBot="1" x14ac:dyDescent="0.4">
      <c r="A87" s="54">
        <v>1</v>
      </c>
      <c r="B87" s="55">
        <v>2</v>
      </c>
      <c r="C87" s="56">
        <v>3</v>
      </c>
      <c r="D87" s="57">
        <v>4</v>
      </c>
      <c r="E87" s="54">
        <v>5</v>
      </c>
      <c r="F87" s="57">
        <v>6</v>
      </c>
      <c r="G87" s="54">
        <v>7</v>
      </c>
      <c r="H87" s="58">
        <v>8</v>
      </c>
      <c r="I87" s="54">
        <v>9</v>
      </c>
      <c r="J87" s="54">
        <v>10</v>
      </c>
      <c r="K87" s="54"/>
      <c r="L87" s="54">
        <v>11</v>
      </c>
      <c r="M87" s="55">
        <v>12</v>
      </c>
      <c r="N87" s="82">
        <v>13</v>
      </c>
      <c r="O87" s="55">
        <v>14</v>
      </c>
      <c r="P87" s="54">
        <v>15</v>
      </c>
      <c r="Q87" s="55">
        <v>16</v>
      </c>
      <c r="R87" s="54">
        <v>17</v>
      </c>
      <c r="S87" s="55">
        <v>18</v>
      </c>
      <c r="T87" s="54">
        <v>19</v>
      </c>
      <c r="U87" s="55">
        <v>20</v>
      </c>
      <c r="V87" s="82">
        <v>21</v>
      </c>
      <c r="W87" s="89">
        <v>22</v>
      </c>
      <c r="X87" s="82">
        <v>23</v>
      </c>
      <c r="Y87" s="55">
        <v>24</v>
      </c>
      <c r="Z87" s="54">
        <v>25</v>
      </c>
      <c r="AA87" s="54">
        <v>26</v>
      </c>
    </row>
    <row r="88" spans="1:27" ht="16" thickTop="1" x14ac:dyDescent="0.35">
      <c r="A88" s="18">
        <v>1</v>
      </c>
      <c r="B88" s="77" t="s">
        <v>499</v>
      </c>
      <c r="C88" s="34" t="s">
        <v>630</v>
      </c>
      <c r="D88" s="12" t="s">
        <v>33</v>
      </c>
      <c r="E88" s="18"/>
      <c r="F88" s="12" t="s">
        <v>644</v>
      </c>
      <c r="G88" s="21">
        <v>30515</v>
      </c>
      <c r="H88" s="16">
        <v>40513</v>
      </c>
      <c r="I88" s="18">
        <f ca="1">DATEDIF(H88,$A$5,"Y")</f>
        <v>13</v>
      </c>
      <c r="J88" s="50">
        <f ca="1">DATEDIF(H88,$A$5,"YM")</f>
        <v>10</v>
      </c>
      <c r="K88" s="50" t="s">
        <v>1133</v>
      </c>
      <c r="L88" s="49"/>
      <c r="M88" s="18" t="s">
        <v>178</v>
      </c>
      <c r="N88" s="83">
        <v>44470</v>
      </c>
      <c r="O88" s="18">
        <v>10</v>
      </c>
      <c r="P88" s="12">
        <v>10</v>
      </c>
      <c r="Q88" s="18" t="s">
        <v>788</v>
      </c>
      <c r="S88" s="18" t="s">
        <v>220</v>
      </c>
      <c r="T88" s="12" t="s">
        <v>40</v>
      </c>
      <c r="U88" s="18" t="str">
        <f ca="1">DATEDIF(G88,$A$5,"Y") &amp;" Tahun, "&amp;DATEDIF(G88,$A$5,"YM") &amp;" Bulan, "&amp;DATEDIF(G88,$A$5,"MD") &amp;" Hari"</f>
        <v>41 Tahun, 2 Bulan, 20 Hari</v>
      </c>
      <c r="V88" s="86" t="s">
        <v>836</v>
      </c>
      <c r="W88" s="88">
        <v>356.75</v>
      </c>
      <c r="X88" s="92">
        <v>43466</v>
      </c>
      <c r="Y88" s="21" t="s">
        <v>865</v>
      </c>
      <c r="Z88" s="18"/>
      <c r="AA88" s="18"/>
    </row>
    <row r="89" spans="1:27" x14ac:dyDescent="0.35">
      <c r="A89" s="18">
        <v>2</v>
      </c>
      <c r="B89" s="78" t="s">
        <v>497</v>
      </c>
      <c r="C89" s="31" t="s">
        <v>616</v>
      </c>
      <c r="D89" s="12" t="s">
        <v>33</v>
      </c>
      <c r="E89" s="18"/>
      <c r="F89" s="12" t="s">
        <v>35</v>
      </c>
      <c r="G89" s="21">
        <v>27535</v>
      </c>
      <c r="H89" s="16">
        <v>39783</v>
      </c>
      <c r="I89" s="18">
        <f ca="1">DATEDIF(H89,$A$5,"Y")</f>
        <v>15</v>
      </c>
      <c r="J89" s="50">
        <f ca="1">DATEDIF(H89,$A$5,"YM")</f>
        <v>10</v>
      </c>
      <c r="K89" s="50" t="s">
        <v>1133</v>
      </c>
      <c r="L89" s="50"/>
      <c r="M89" s="18" t="s">
        <v>178</v>
      </c>
      <c r="N89" s="83">
        <v>43009</v>
      </c>
      <c r="O89" s="18">
        <v>8</v>
      </c>
      <c r="P89" s="12">
        <v>10</v>
      </c>
      <c r="Q89" s="18" t="s">
        <v>789</v>
      </c>
      <c r="S89" s="18" t="s">
        <v>39</v>
      </c>
      <c r="T89" s="12" t="s">
        <v>40</v>
      </c>
      <c r="U89" s="18" t="str">
        <f t="shared" ref="U89:U95" ca="1" si="10">DATEDIF(G89,$A$5,"Y") &amp;" Tahun, "&amp;DATEDIF(G89,$A$5,"YM") &amp;" Bulan, "&amp;DATEDIF(G89,$A$5,"MD") &amp;" Hari"</f>
        <v>49 Tahun, 4 Bulan, 17 Hari</v>
      </c>
      <c r="V89" s="86" t="s">
        <v>836</v>
      </c>
      <c r="W89" s="88">
        <v>329.58</v>
      </c>
      <c r="X89" s="92">
        <v>41760</v>
      </c>
      <c r="Y89" s="21"/>
      <c r="Z89" s="18"/>
      <c r="AA89" s="18"/>
    </row>
    <row r="90" spans="1:27" x14ac:dyDescent="0.35">
      <c r="A90" s="18">
        <v>3</v>
      </c>
      <c r="B90" s="78" t="s">
        <v>500</v>
      </c>
      <c r="C90" s="31" t="s">
        <v>631</v>
      </c>
      <c r="D90" s="12" t="s">
        <v>629</v>
      </c>
      <c r="E90" s="18"/>
      <c r="F90" s="12" t="s">
        <v>363</v>
      </c>
      <c r="G90" s="21">
        <v>26610</v>
      </c>
      <c r="H90" s="16">
        <v>37956</v>
      </c>
      <c r="I90" s="18">
        <f ca="1">DATEDIF(H90,$A$5,"Y")</f>
        <v>20</v>
      </c>
      <c r="J90" s="50">
        <f ca="1">DATEDIF(H90,$A$5,"YM")</f>
        <v>10</v>
      </c>
      <c r="K90" s="50" t="s">
        <v>1133</v>
      </c>
      <c r="L90" s="50"/>
      <c r="M90" s="18" t="s">
        <v>178</v>
      </c>
      <c r="N90" s="83">
        <v>44652</v>
      </c>
      <c r="O90" s="18">
        <v>18</v>
      </c>
      <c r="P90" s="12">
        <v>4</v>
      </c>
      <c r="Q90" s="18" t="s">
        <v>790</v>
      </c>
      <c r="S90" s="18" t="s">
        <v>220</v>
      </c>
      <c r="T90" s="12" t="s">
        <v>219</v>
      </c>
      <c r="U90" s="18" t="str">
        <f t="shared" ca="1" si="10"/>
        <v>51 Tahun, 11 Bulan, 1 Hari</v>
      </c>
      <c r="V90" s="86" t="s">
        <v>836</v>
      </c>
      <c r="W90" s="88">
        <v>332</v>
      </c>
      <c r="X90" s="92">
        <v>41730</v>
      </c>
      <c r="Y90" s="21" t="s">
        <v>866</v>
      </c>
      <c r="Z90" s="21">
        <v>44957</v>
      </c>
      <c r="AA90" s="18"/>
    </row>
    <row r="91" spans="1:27" x14ac:dyDescent="0.35">
      <c r="A91" s="18">
        <v>4</v>
      </c>
      <c r="B91" s="78" t="s">
        <v>504</v>
      </c>
      <c r="C91" s="31" t="s">
        <v>632</v>
      </c>
      <c r="D91" s="12" t="s">
        <v>33</v>
      </c>
      <c r="E91" s="18"/>
      <c r="F91" s="12" t="s">
        <v>655</v>
      </c>
      <c r="G91" s="21">
        <v>32398</v>
      </c>
      <c r="H91" s="16">
        <v>41730</v>
      </c>
      <c r="I91" s="18">
        <f ca="1">DATEDIF(H91,$A$5,"Y")</f>
        <v>10</v>
      </c>
      <c r="J91" s="50">
        <f ca="1">DATEDIF(H91,$A$5,"YM")</f>
        <v>6</v>
      </c>
      <c r="K91" s="50" t="s">
        <v>1133</v>
      </c>
      <c r="L91" s="50"/>
      <c r="M91" s="18" t="s">
        <v>180</v>
      </c>
      <c r="N91" s="83">
        <v>42339</v>
      </c>
      <c r="O91" s="18">
        <v>1</v>
      </c>
      <c r="P91" s="12">
        <v>8</v>
      </c>
      <c r="Q91" s="18" t="s">
        <v>791</v>
      </c>
      <c r="S91" s="18" t="s">
        <v>220</v>
      </c>
      <c r="T91" s="12" t="s">
        <v>40</v>
      </c>
      <c r="U91" s="18" t="str">
        <f ca="1">DATEDIF(G91,$A$5,"Y") &amp;" Tahun, "&amp;DATEDIF(G91,$A$5,"YM") &amp;" Bulan, "&amp;DATEDIF(G91,$A$5,"MD") &amp;" Hari"</f>
        <v>36 Tahun, 0 Bulan, 26 Hari</v>
      </c>
      <c r="V91" s="86" t="s">
        <v>837</v>
      </c>
      <c r="W91" s="88">
        <v>205.38</v>
      </c>
      <c r="X91" s="92">
        <v>42767</v>
      </c>
      <c r="Y91" s="21"/>
      <c r="Z91" s="18"/>
      <c r="AA91" s="18"/>
    </row>
    <row r="92" spans="1:27" x14ac:dyDescent="0.35">
      <c r="A92" s="18">
        <v>5</v>
      </c>
      <c r="B92" s="78" t="s">
        <v>503</v>
      </c>
      <c r="C92" s="31" t="s">
        <v>633</v>
      </c>
      <c r="D92" s="12" t="s">
        <v>33</v>
      </c>
      <c r="E92" s="18"/>
      <c r="F92" s="12" t="s">
        <v>644</v>
      </c>
      <c r="G92" s="21">
        <v>27674</v>
      </c>
      <c r="H92" s="16">
        <v>39783</v>
      </c>
      <c r="I92" s="18">
        <f ca="1">DATEDIF(H92,$A$5,"Y")</f>
        <v>15</v>
      </c>
      <c r="J92" s="50">
        <f ca="1">DATEDIF(H92,$A$5,"YM")</f>
        <v>10</v>
      </c>
      <c r="K92" s="50" t="s">
        <v>1133</v>
      </c>
      <c r="L92" s="50"/>
      <c r="M92" s="18" t="s">
        <v>180</v>
      </c>
      <c r="N92" s="83">
        <v>40299</v>
      </c>
      <c r="O92" s="18">
        <v>7</v>
      </c>
      <c r="P92" s="12">
        <v>4</v>
      </c>
      <c r="Q92" s="18" t="s">
        <v>792</v>
      </c>
      <c r="S92" s="18" t="s">
        <v>39</v>
      </c>
      <c r="T92" s="12" t="s">
        <v>40</v>
      </c>
      <c r="U92" s="18" t="str">
        <f t="shared" ca="1" si="10"/>
        <v>49 Tahun, 0 Bulan, 1 Hari</v>
      </c>
      <c r="V92" s="86" t="s">
        <v>837</v>
      </c>
      <c r="W92" s="88">
        <v>180</v>
      </c>
      <c r="X92" s="92">
        <v>40452</v>
      </c>
      <c r="Y92" s="21"/>
      <c r="Z92" s="18"/>
      <c r="AA92" s="18"/>
    </row>
    <row r="93" spans="1:27" x14ac:dyDescent="0.35">
      <c r="A93" s="18">
        <v>6</v>
      </c>
      <c r="B93" s="78" t="s">
        <v>518</v>
      </c>
      <c r="C93" s="31" t="s">
        <v>1134</v>
      </c>
      <c r="D93" s="12" t="s">
        <v>33</v>
      </c>
      <c r="E93" s="18" t="s">
        <v>1135</v>
      </c>
      <c r="F93" s="12" t="s">
        <v>35</v>
      </c>
      <c r="G93" s="21">
        <v>34328</v>
      </c>
      <c r="H93" s="16" t="s">
        <v>1136</v>
      </c>
      <c r="I93" s="18"/>
      <c r="J93" s="50"/>
      <c r="K93" s="50" t="s">
        <v>1133</v>
      </c>
      <c r="L93" s="50"/>
      <c r="M93" s="18" t="s">
        <v>761</v>
      </c>
      <c r="N93" s="83">
        <v>45292</v>
      </c>
      <c r="O93" s="18">
        <v>0</v>
      </c>
      <c r="P93" s="12">
        <v>0</v>
      </c>
      <c r="Q93" s="18"/>
      <c r="S93" s="18" t="s">
        <v>220</v>
      </c>
      <c r="T93" s="12" t="s">
        <v>219</v>
      </c>
      <c r="U93" s="18" t="str">
        <f t="shared" ca="1" si="10"/>
        <v>30 Tahun, 9 Bulan, 13 Hari</v>
      </c>
      <c r="V93" s="86" t="s">
        <v>837</v>
      </c>
      <c r="W93" s="88">
        <v>0</v>
      </c>
      <c r="X93" s="92">
        <v>45292</v>
      </c>
      <c r="Y93" s="21"/>
      <c r="Z93" s="18"/>
      <c r="AA93" s="18" t="s">
        <v>864</v>
      </c>
    </row>
    <row r="94" spans="1:27" x14ac:dyDescent="0.35">
      <c r="A94" s="18">
        <v>7</v>
      </c>
      <c r="B94" s="15" t="s">
        <v>1180</v>
      </c>
      <c r="C94" s="31" t="s">
        <v>1181</v>
      </c>
      <c r="D94" s="12" t="s">
        <v>33</v>
      </c>
      <c r="E94" s="18" t="s">
        <v>1182</v>
      </c>
      <c r="F94" s="12" t="s">
        <v>1183</v>
      </c>
      <c r="G94" s="21">
        <v>33293</v>
      </c>
      <c r="H94" s="16">
        <v>45444</v>
      </c>
      <c r="I94" s="18">
        <v>0</v>
      </c>
      <c r="J94" s="50">
        <v>0</v>
      </c>
      <c r="K94" s="50" t="s">
        <v>1133</v>
      </c>
      <c r="L94" s="50"/>
      <c r="M94" s="18" t="s">
        <v>180</v>
      </c>
      <c r="N94" s="83">
        <v>45444</v>
      </c>
      <c r="O94" s="18">
        <v>0</v>
      </c>
      <c r="P94" s="12">
        <v>0</v>
      </c>
      <c r="Q94" s="18"/>
      <c r="S94" s="18" t="s">
        <v>39</v>
      </c>
      <c r="T94" s="12" t="s">
        <v>219</v>
      </c>
      <c r="U94" s="18" t="str">
        <f t="shared" ca="1" si="10"/>
        <v>33 Tahun, 7 Bulan, 14 Hari</v>
      </c>
      <c r="V94" s="86" t="s">
        <v>837</v>
      </c>
      <c r="W94" s="88">
        <v>0</v>
      </c>
      <c r="X94" s="92">
        <v>45444</v>
      </c>
      <c r="Y94" s="21"/>
      <c r="Z94" s="18"/>
      <c r="AA94" s="18" t="s">
        <v>1167</v>
      </c>
    </row>
    <row r="95" spans="1:27" x14ac:dyDescent="0.35">
      <c r="A95" s="18">
        <v>8</v>
      </c>
      <c r="B95" s="15" t="s">
        <v>1184</v>
      </c>
      <c r="C95" s="31" t="s">
        <v>1185</v>
      </c>
      <c r="D95" s="12" t="s">
        <v>33</v>
      </c>
      <c r="E95" s="18" t="s">
        <v>1182</v>
      </c>
      <c r="F95" s="12" t="s">
        <v>655</v>
      </c>
      <c r="G95" s="21">
        <v>35644</v>
      </c>
      <c r="H95" s="16">
        <v>45444</v>
      </c>
      <c r="I95" s="18">
        <v>0</v>
      </c>
      <c r="J95" s="50">
        <v>0</v>
      </c>
      <c r="K95" s="50" t="s">
        <v>1133</v>
      </c>
      <c r="L95" s="50"/>
      <c r="M95" s="18" t="s">
        <v>180</v>
      </c>
      <c r="N95" s="83">
        <v>45444</v>
      </c>
      <c r="O95" s="18">
        <v>0</v>
      </c>
      <c r="P95" s="12">
        <v>0</v>
      </c>
      <c r="Q95" s="18"/>
      <c r="S95" s="18" t="s">
        <v>220</v>
      </c>
      <c r="T95" s="12" t="s">
        <v>40</v>
      </c>
      <c r="U95" s="18" t="str">
        <f t="shared" ca="1" si="10"/>
        <v>27 Tahun, 2 Bulan, 6 Hari</v>
      </c>
      <c r="V95" s="86" t="s">
        <v>837</v>
      </c>
      <c r="W95" s="88">
        <v>0</v>
      </c>
      <c r="X95" s="92">
        <v>45444</v>
      </c>
      <c r="Y95" s="21"/>
      <c r="Z95" s="18"/>
      <c r="AA95" s="18" t="s">
        <v>1167</v>
      </c>
    </row>
    <row r="96" spans="1:27" x14ac:dyDescent="0.35">
      <c r="C96" s="62"/>
      <c r="G96" s="16"/>
      <c r="H96" s="16"/>
      <c r="N96" s="83"/>
      <c r="W96" s="88"/>
      <c r="X96" s="83"/>
      <c r="Y96" s="16"/>
    </row>
    <row r="97" spans="1:27" x14ac:dyDescent="0.35">
      <c r="C97" s="62"/>
      <c r="G97" s="16"/>
      <c r="H97" s="16"/>
      <c r="N97" s="83"/>
      <c r="W97" s="88"/>
      <c r="X97" s="83"/>
      <c r="Y97" s="16"/>
    </row>
    <row r="99" spans="1:27" x14ac:dyDescent="0.35">
      <c r="A99" s="46" t="s">
        <v>1146</v>
      </c>
      <c r="B99" s="36"/>
      <c r="C99" s="36"/>
      <c r="D99" s="36"/>
    </row>
    <row r="100" spans="1:27" x14ac:dyDescent="0.35">
      <c r="A100" s="36" t="s">
        <v>391</v>
      </c>
    </row>
    <row r="101" spans="1:27" s="13" customFormat="1" ht="17" customHeight="1" x14ac:dyDescent="0.35">
      <c r="A101" s="238" t="s">
        <v>13</v>
      </c>
      <c r="B101" s="277" t="s">
        <v>14</v>
      </c>
      <c r="C101" s="278" t="s">
        <v>19</v>
      </c>
      <c r="D101" s="280" t="s">
        <v>15</v>
      </c>
      <c r="E101" s="238" t="s">
        <v>18</v>
      </c>
      <c r="F101" s="282" t="s">
        <v>16</v>
      </c>
      <c r="G101" s="238" t="s">
        <v>17</v>
      </c>
      <c r="H101" s="283" t="s">
        <v>36</v>
      </c>
      <c r="I101" s="284" t="s">
        <v>30</v>
      </c>
      <c r="J101" s="285"/>
      <c r="K101" s="226" t="s">
        <v>1215</v>
      </c>
      <c r="L101" s="295" t="s">
        <v>268</v>
      </c>
      <c r="M101" s="238" t="s">
        <v>20</v>
      </c>
      <c r="N101" s="303" t="s">
        <v>21</v>
      </c>
      <c r="O101" s="297" t="s">
        <v>29</v>
      </c>
      <c r="P101" s="298"/>
      <c r="Q101" s="238" t="s">
        <v>22</v>
      </c>
      <c r="R101" s="282" t="s">
        <v>23</v>
      </c>
      <c r="S101" s="64" t="s">
        <v>31</v>
      </c>
      <c r="T101" s="288" t="s">
        <v>25</v>
      </c>
      <c r="U101" s="238" t="s">
        <v>26</v>
      </c>
      <c r="V101" s="301" t="s">
        <v>258</v>
      </c>
      <c r="W101" s="299" t="s">
        <v>838</v>
      </c>
      <c r="X101" s="301" t="s">
        <v>839</v>
      </c>
      <c r="Y101" s="301" t="s">
        <v>840</v>
      </c>
      <c r="Z101" s="303" t="s">
        <v>841</v>
      </c>
      <c r="AA101" s="303" t="s">
        <v>852</v>
      </c>
    </row>
    <row r="102" spans="1:27" s="13" customFormat="1" x14ac:dyDescent="0.35">
      <c r="A102" s="238"/>
      <c r="B102" s="277"/>
      <c r="C102" s="279"/>
      <c r="D102" s="281"/>
      <c r="E102" s="238"/>
      <c r="F102" s="282"/>
      <c r="G102" s="238"/>
      <c r="H102" s="283"/>
      <c r="I102" s="64" t="s">
        <v>3</v>
      </c>
      <c r="J102" s="65" t="s">
        <v>4</v>
      </c>
      <c r="K102" s="227"/>
      <c r="L102" s="296"/>
      <c r="M102" s="238"/>
      <c r="N102" s="288"/>
      <c r="O102" s="64" t="s">
        <v>3</v>
      </c>
      <c r="P102" s="66" t="s">
        <v>4</v>
      </c>
      <c r="Q102" s="238"/>
      <c r="R102" s="282"/>
      <c r="S102" s="64" t="s">
        <v>24</v>
      </c>
      <c r="T102" s="288"/>
      <c r="U102" s="238"/>
      <c r="V102" s="302"/>
      <c r="W102" s="300"/>
      <c r="X102" s="302"/>
      <c r="Y102" s="302"/>
      <c r="Z102" s="303"/>
      <c r="AA102" s="303"/>
    </row>
    <row r="103" spans="1:27" s="61" customFormat="1" ht="13.5" thickBot="1" x14ac:dyDescent="0.4">
      <c r="A103" s="41">
        <v>1</v>
      </c>
      <c r="B103" s="42">
        <v>2</v>
      </c>
      <c r="C103" s="43">
        <v>3</v>
      </c>
      <c r="D103" s="44">
        <v>4</v>
      </c>
      <c r="E103" s="41">
        <v>5</v>
      </c>
      <c r="F103" s="44">
        <v>6</v>
      </c>
      <c r="G103" s="41">
        <v>7</v>
      </c>
      <c r="H103" s="45">
        <v>8</v>
      </c>
      <c r="I103" s="41">
        <v>9</v>
      </c>
      <c r="J103" s="41">
        <v>10</v>
      </c>
      <c r="K103" s="41"/>
      <c r="L103" s="41">
        <v>11</v>
      </c>
      <c r="M103" s="42">
        <v>12</v>
      </c>
      <c r="N103" s="84">
        <v>13</v>
      </c>
      <c r="O103" s="42">
        <v>14</v>
      </c>
      <c r="P103" s="41">
        <v>15</v>
      </c>
      <c r="Q103" s="42">
        <v>16</v>
      </c>
      <c r="R103" s="41">
        <v>17</v>
      </c>
      <c r="S103" s="42">
        <v>18</v>
      </c>
      <c r="T103" s="41">
        <v>19</v>
      </c>
      <c r="U103" s="42">
        <v>20</v>
      </c>
      <c r="V103" s="84">
        <v>21</v>
      </c>
      <c r="W103" s="90">
        <v>22</v>
      </c>
      <c r="X103" s="84">
        <v>23</v>
      </c>
      <c r="Y103" s="45">
        <v>24</v>
      </c>
      <c r="Z103" s="41">
        <v>25</v>
      </c>
      <c r="AA103" s="41">
        <v>26</v>
      </c>
    </row>
    <row r="104" spans="1:27" ht="16" thickTop="1" x14ac:dyDescent="0.35">
      <c r="A104" s="18">
        <v>1</v>
      </c>
      <c r="B104" s="78" t="s">
        <v>521</v>
      </c>
      <c r="C104" s="31" t="s">
        <v>657</v>
      </c>
      <c r="D104" s="12" t="s">
        <v>33</v>
      </c>
      <c r="E104" s="18"/>
      <c r="F104" s="12" t="s">
        <v>725</v>
      </c>
      <c r="G104" s="21">
        <v>27254</v>
      </c>
      <c r="H104" s="16">
        <v>37591</v>
      </c>
      <c r="I104" s="18">
        <f t="shared" ref="I104:I110" ca="1" si="11">DATEDIF(H104,$A$5,"Y")</f>
        <v>21</v>
      </c>
      <c r="J104" s="18">
        <f t="shared" ref="J104:J111" ca="1" si="12">DATEDIF(H104,$A$5,"YM")</f>
        <v>10</v>
      </c>
      <c r="K104" s="50" t="s">
        <v>1133</v>
      </c>
      <c r="L104" s="50"/>
      <c r="M104" s="18" t="s">
        <v>37</v>
      </c>
      <c r="N104" s="83">
        <v>43374</v>
      </c>
      <c r="O104" s="18">
        <v>15</v>
      </c>
      <c r="P104" s="12">
        <v>10</v>
      </c>
      <c r="Q104" s="18" t="s">
        <v>795</v>
      </c>
      <c r="S104" s="18" t="s">
        <v>39</v>
      </c>
      <c r="T104" s="12" t="s">
        <v>40</v>
      </c>
      <c r="U104" s="18" t="str">
        <f t="shared" ref="U104:U110" ca="1" si="13">DATEDIF(G104,$A$5,"Y") &amp;" Tahun, "&amp;DATEDIF(G104,$A$5,"YM") &amp;" Bulan, "&amp;DATEDIF(G104,$A$5,"MD") &amp;" Hari"</f>
        <v>50 Tahun, 1 Bulan, 25 Hari</v>
      </c>
      <c r="V104" s="86" t="s">
        <v>835</v>
      </c>
      <c r="W104" s="167">
        <v>559.75</v>
      </c>
      <c r="X104" s="166">
        <v>42125</v>
      </c>
      <c r="Y104" s="79"/>
      <c r="Z104" s="50"/>
      <c r="AA104" s="50"/>
    </row>
    <row r="105" spans="1:27" x14ac:dyDescent="0.35">
      <c r="A105" s="18">
        <v>2</v>
      </c>
      <c r="B105" s="78" t="s">
        <v>522</v>
      </c>
      <c r="C105" s="31" t="s">
        <v>658</v>
      </c>
      <c r="D105" s="12" t="s">
        <v>33</v>
      </c>
      <c r="E105" s="18"/>
      <c r="F105" s="12" t="s">
        <v>726</v>
      </c>
      <c r="G105" s="21">
        <v>28103</v>
      </c>
      <c r="H105" s="16">
        <v>37956</v>
      </c>
      <c r="I105" s="18">
        <f t="shared" ca="1" si="11"/>
        <v>20</v>
      </c>
      <c r="J105" s="18">
        <f t="shared" ca="1" si="12"/>
        <v>10</v>
      </c>
      <c r="K105" s="50" t="s">
        <v>1133</v>
      </c>
      <c r="L105" s="50"/>
      <c r="M105" s="18" t="s">
        <v>177</v>
      </c>
      <c r="N105" s="83">
        <v>41548</v>
      </c>
      <c r="O105" s="18">
        <v>9</v>
      </c>
      <c r="P105" s="12">
        <v>10</v>
      </c>
      <c r="Q105" s="18" t="s">
        <v>796</v>
      </c>
      <c r="S105" s="18" t="s">
        <v>39</v>
      </c>
      <c r="T105" s="12" t="s">
        <v>40</v>
      </c>
      <c r="U105" s="18" t="str">
        <f t="shared" ca="1" si="13"/>
        <v>47 Tahun, 9 Bulan, 29 Hari</v>
      </c>
      <c r="V105" s="86" t="s">
        <v>835</v>
      </c>
      <c r="W105" s="165">
        <v>416.8</v>
      </c>
      <c r="X105" s="166">
        <v>41426</v>
      </c>
      <c r="Y105" s="21" t="s">
        <v>867</v>
      </c>
      <c r="Z105" s="21">
        <v>44957</v>
      </c>
      <c r="AA105" s="18"/>
    </row>
    <row r="106" spans="1:27" x14ac:dyDescent="0.35">
      <c r="A106" s="18">
        <v>3</v>
      </c>
      <c r="B106" s="78" t="s">
        <v>523</v>
      </c>
      <c r="C106" s="31" t="s">
        <v>659</v>
      </c>
      <c r="D106" s="12" t="s">
        <v>629</v>
      </c>
      <c r="E106" s="18"/>
      <c r="F106" s="12" t="s">
        <v>655</v>
      </c>
      <c r="G106" s="21">
        <v>27435</v>
      </c>
      <c r="H106" s="16">
        <v>37956</v>
      </c>
      <c r="I106" s="18">
        <f t="shared" ca="1" si="11"/>
        <v>20</v>
      </c>
      <c r="J106" s="18">
        <f t="shared" ca="1" si="12"/>
        <v>10</v>
      </c>
      <c r="K106" s="50" t="s">
        <v>1133</v>
      </c>
      <c r="L106" s="50"/>
      <c r="M106" s="18" t="s">
        <v>177</v>
      </c>
      <c r="N106" s="83">
        <v>43374</v>
      </c>
      <c r="O106" s="18">
        <v>14</v>
      </c>
      <c r="P106" s="12">
        <v>10</v>
      </c>
      <c r="Q106" s="18" t="s">
        <v>797</v>
      </c>
      <c r="S106" s="18" t="s">
        <v>220</v>
      </c>
      <c r="T106" s="12" t="s">
        <v>40</v>
      </c>
      <c r="U106" s="18" t="str">
        <f t="shared" ca="1" si="13"/>
        <v>49 Tahun, 7 Bulan, 28 Hari</v>
      </c>
      <c r="V106" s="86" t="s">
        <v>835</v>
      </c>
      <c r="W106" s="165">
        <v>455.5</v>
      </c>
      <c r="X106" s="166">
        <v>42125</v>
      </c>
      <c r="Y106" s="21" t="s">
        <v>868</v>
      </c>
      <c r="Z106" s="21">
        <v>45239</v>
      </c>
      <c r="AA106" s="18"/>
    </row>
    <row r="107" spans="1:27" x14ac:dyDescent="0.35">
      <c r="A107" s="18">
        <v>4</v>
      </c>
      <c r="B107" s="78" t="s">
        <v>525</v>
      </c>
      <c r="C107" s="31" t="s">
        <v>661</v>
      </c>
      <c r="D107" s="12" t="s">
        <v>33</v>
      </c>
      <c r="E107" s="18"/>
      <c r="F107" s="12" t="s">
        <v>728</v>
      </c>
      <c r="G107" s="21">
        <v>25931</v>
      </c>
      <c r="H107" s="16">
        <v>37956</v>
      </c>
      <c r="I107" s="18">
        <f t="shared" ca="1" si="11"/>
        <v>20</v>
      </c>
      <c r="J107" s="18">
        <f t="shared" ca="1" si="12"/>
        <v>10</v>
      </c>
      <c r="K107" s="50" t="s">
        <v>1133</v>
      </c>
      <c r="L107" s="50"/>
      <c r="M107" s="18" t="s">
        <v>177</v>
      </c>
      <c r="N107" s="83">
        <v>44105</v>
      </c>
      <c r="O107" s="18">
        <v>16</v>
      </c>
      <c r="P107" s="12">
        <v>10</v>
      </c>
      <c r="Q107" s="18" t="s">
        <v>799</v>
      </c>
      <c r="S107" s="18" t="s">
        <v>39</v>
      </c>
      <c r="T107" s="12" t="s">
        <v>219</v>
      </c>
      <c r="U107" s="18" t="str">
        <f t="shared" ca="1" si="13"/>
        <v>53 Tahun, 9 Bulan, 9 Hari</v>
      </c>
      <c r="V107" s="86" t="s">
        <v>835</v>
      </c>
      <c r="W107" s="165">
        <v>400</v>
      </c>
      <c r="X107" s="166">
        <v>42856</v>
      </c>
      <c r="Y107" s="21" t="s">
        <v>870</v>
      </c>
      <c r="Z107" s="21">
        <v>44957</v>
      </c>
      <c r="AA107" s="18"/>
    </row>
    <row r="108" spans="1:27" x14ac:dyDescent="0.35">
      <c r="A108" s="18">
        <v>5</v>
      </c>
      <c r="B108" s="78" t="s">
        <v>528</v>
      </c>
      <c r="C108" s="31" t="s">
        <v>664</v>
      </c>
      <c r="D108" s="12" t="s">
        <v>33</v>
      </c>
      <c r="E108" s="18"/>
      <c r="F108" s="12" t="s">
        <v>730</v>
      </c>
      <c r="G108" s="21">
        <v>25241</v>
      </c>
      <c r="H108" s="16">
        <v>34029</v>
      </c>
      <c r="I108" s="18">
        <f t="shared" ca="1" si="11"/>
        <v>31</v>
      </c>
      <c r="J108" s="18">
        <f t="shared" ca="1" si="12"/>
        <v>7</v>
      </c>
      <c r="K108" s="50" t="s">
        <v>1133</v>
      </c>
      <c r="L108" s="50" t="s">
        <v>1211</v>
      </c>
      <c r="M108" s="18" t="s">
        <v>178</v>
      </c>
      <c r="N108" s="83">
        <v>43556</v>
      </c>
      <c r="O108" s="18">
        <v>21</v>
      </c>
      <c r="P108" s="12">
        <v>3</v>
      </c>
      <c r="Q108" s="18" t="s">
        <v>802</v>
      </c>
      <c r="S108" s="18" t="s">
        <v>220</v>
      </c>
      <c r="T108" s="12" t="s">
        <v>40</v>
      </c>
      <c r="U108" s="18" t="str">
        <f t="shared" ca="1" si="13"/>
        <v>55 Tahun, 8 Bulan, 1 Hari</v>
      </c>
      <c r="V108" s="170" t="s">
        <v>836</v>
      </c>
      <c r="W108" s="165">
        <v>300</v>
      </c>
      <c r="X108" s="166">
        <v>44958</v>
      </c>
      <c r="Y108" s="21"/>
      <c r="Z108" s="18"/>
      <c r="AA108" s="18"/>
    </row>
    <row r="109" spans="1:27" x14ac:dyDescent="0.35">
      <c r="A109" s="18">
        <v>6</v>
      </c>
      <c r="B109" s="78" t="s">
        <v>530</v>
      </c>
      <c r="C109" s="31" t="s">
        <v>666</v>
      </c>
      <c r="D109" s="12" t="s">
        <v>33</v>
      </c>
      <c r="E109" s="18"/>
      <c r="F109" s="12" t="s">
        <v>35</v>
      </c>
      <c r="G109" s="21">
        <v>24680</v>
      </c>
      <c r="H109" s="16">
        <v>37956</v>
      </c>
      <c r="I109" s="18">
        <f t="shared" ca="1" si="11"/>
        <v>20</v>
      </c>
      <c r="J109" s="18">
        <f t="shared" ca="1" si="12"/>
        <v>10</v>
      </c>
      <c r="K109" s="50" t="s">
        <v>1133</v>
      </c>
      <c r="L109" s="50"/>
      <c r="M109" s="18" t="s">
        <v>180</v>
      </c>
      <c r="N109" s="83">
        <v>39173</v>
      </c>
      <c r="O109" s="18">
        <v>11</v>
      </c>
      <c r="P109" s="12">
        <v>4</v>
      </c>
      <c r="Q109" s="18" t="s">
        <v>804</v>
      </c>
      <c r="S109" s="18" t="s">
        <v>39</v>
      </c>
      <c r="T109" s="12" t="s">
        <v>40</v>
      </c>
      <c r="U109" s="18" t="str">
        <f t="shared" ca="1" si="13"/>
        <v>57 Tahun, 2 Bulan, 11 Hari</v>
      </c>
      <c r="V109" s="86" t="s">
        <v>836</v>
      </c>
      <c r="W109" s="165">
        <v>204.75</v>
      </c>
      <c r="X109" s="166">
        <v>38991</v>
      </c>
      <c r="Y109" s="21" t="s">
        <v>873</v>
      </c>
      <c r="Z109" s="21">
        <v>44957</v>
      </c>
      <c r="AA109" s="18"/>
    </row>
    <row r="110" spans="1:27" x14ac:dyDescent="0.35">
      <c r="A110" s="18">
        <v>7</v>
      </c>
      <c r="B110" s="78" t="s">
        <v>531</v>
      </c>
      <c r="C110" s="31" t="s">
        <v>667</v>
      </c>
      <c r="D110" s="12" t="s">
        <v>33</v>
      </c>
      <c r="E110" s="18"/>
      <c r="F110" s="12" t="s">
        <v>732</v>
      </c>
      <c r="G110" s="21">
        <v>34334</v>
      </c>
      <c r="H110" s="16">
        <v>44621</v>
      </c>
      <c r="I110" s="18">
        <f t="shared" ca="1" si="11"/>
        <v>2</v>
      </c>
      <c r="J110" s="18">
        <f t="shared" ca="1" si="12"/>
        <v>7</v>
      </c>
      <c r="K110" s="50" t="s">
        <v>1133</v>
      </c>
      <c r="L110" s="50"/>
      <c r="M110" s="18" t="s">
        <v>180</v>
      </c>
      <c r="N110" s="83">
        <v>44621</v>
      </c>
      <c r="O110" s="18"/>
      <c r="Q110" s="18"/>
      <c r="S110" s="18" t="s">
        <v>220</v>
      </c>
      <c r="T110" s="12" t="s">
        <v>40</v>
      </c>
      <c r="U110" s="18" t="str">
        <f t="shared" ca="1" si="13"/>
        <v>30 Tahun, 9 Bulan, 7 Hari</v>
      </c>
      <c r="V110" s="170" t="s">
        <v>836</v>
      </c>
      <c r="W110" s="165">
        <v>200.59</v>
      </c>
      <c r="X110" s="166">
        <v>44958</v>
      </c>
      <c r="Y110" s="21"/>
      <c r="Z110" s="18"/>
      <c r="AA110" s="18" t="s">
        <v>853</v>
      </c>
    </row>
    <row r="111" spans="1:27" x14ac:dyDescent="0.35">
      <c r="A111" s="18">
        <v>8</v>
      </c>
      <c r="B111" s="78" t="s">
        <v>532</v>
      </c>
      <c r="C111" s="31" t="s">
        <v>668</v>
      </c>
      <c r="D111" s="12" t="s">
        <v>33</v>
      </c>
      <c r="E111" s="18"/>
      <c r="F111" s="12" t="s">
        <v>733</v>
      </c>
      <c r="G111" s="21">
        <v>33897</v>
      </c>
      <c r="H111" s="16">
        <v>44621</v>
      </c>
      <c r="I111" s="18">
        <f ca="1">DATEDIF(H111,$A$5,"Y")</f>
        <v>2</v>
      </c>
      <c r="J111" s="18">
        <f t="shared" ca="1" si="12"/>
        <v>7</v>
      </c>
      <c r="K111" s="50" t="s">
        <v>1133</v>
      </c>
      <c r="L111" s="50"/>
      <c r="M111" s="18" t="s">
        <v>180</v>
      </c>
      <c r="N111" s="83">
        <v>44621</v>
      </c>
      <c r="O111" s="18"/>
      <c r="Q111" s="18"/>
      <c r="S111" s="18" t="s">
        <v>39</v>
      </c>
      <c r="T111" s="12" t="s">
        <v>40</v>
      </c>
      <c r="U111" s="18" t="str">
        <f ca="1">DATEDIF(G111,$A$5,"Y") &amp;" Tahun, "&amp;DATEDIF(G111,$A$5,"YM") &amp;" Bulan, "&amp;DATEDIF(G111,$A$5,"MD") &amp;" Hari"</f>
        <v>31 Tahun, 11 Bulan, 18 Hari</v>
      </c>
      <c r="V111" s="86" t="s">
        <v>837</v>
      </c>
      <c r="W111" s="165">
        <v>150</v>
      </c>
      <c r="X111" s="166">
        <v>44986</v>
      </c>
      <c r="Y111" s="21" t="s">
        <v>874</v>
      </c>
      <c r="Z111" s="21">
        <v>45239</v>
      </c>
      <c r="AA111" s="18" t="s">
        <v>853</v>
      </c>
    </row>
    <row r="115" spans="1:27" x14ac:dyDescent="0.35">
      <c r="A115" s="46" t="s">
        <v>1146</v>
      </c>
      <c r="B115" s="36"/>
      <c r="C115" s="36"/>
      <c r="D115" s="36"/>
    </row>
    <row r="116" spans="1:27" x14ac:dyDescent="0.35">
      <c r="A116" s="36" t="s">
        <v>1156</v>
      </c>
    </row>
    <row r="117" spans="1:27" s="13" customFormat="1" ht="17" customHeight="1" x14ac:dyDescent="0.35">
      <c r="A117" s="238" t="s">
        <v>13</v>
      </c>
      <c r="B117" s="277" t="s">
        <v>14</v>
      </c>
      <c r="C117" s="278" t="s">
        <v>19</v>
      </c>
      <c r="D117" s="280" t="s">
        <v>15</v>
      </c>
      <c r="E117" s="238" t="s">
        <v>18</v>
      </c>
      <c r="F117" s="282" t="s">
        <v>16</v>
      </c>
      <c r="G117" s="238" t="s">
        <v>17</v>
      </c>
      <c r="H117" s="283" t="s">
        <v>36</v>
      </c>
      <c r="I117" s="284" t="s">
        <v>30</v>
      </c>
      <c r="J117" s="285"/>
      <c r="K117" s="226" t="s">
        <v>1215</v>
      </c>
      <c r="L117" s="295" t="s">
        <v>268</v>
      </c>
      <c r="M117" s="238" t="s">
        <v>20</v>
      </c>
      <c r="N117" s="303" t="s">
        <v>21</v>
      </c>
      <c r="O117" s="297" t="s">
        <v>29</v>
      </c>
      <c r="P117" s="298"/>
      <c r="Q117" s="238" t="s">
        <v>22</v>
      </c>
      <c r="R117" s="282" t="s">
        <v>23</v>
      </c>
      <c r="S117" s="64" t="s">
        <v>31</v>
      </c>
      <c r="T117" s="288" t="s">
        <v>25</v>
      </c>
      <c r="U117" s="238" t="s">
        <v>26</v>
      </c>
      <c r="V117" s="301" t="s">
        <v>258</v>
      </c>
      <c r="W117" s="299" t="s">
        <v>838</v>
      </c>
      <c r="X117" s="301" t="s">
        <v>839</v>
      </c>
      <c r="Y117" s="301" t="s">
        <v>840</v>
      </c>
      <c r="Z117" s="303" t="s">
        <v>841</v>
      </c>
      <c r="AA117" s="303" t="s">
        <v>852</v>
      </c>
    </row>
    <row r="118" spans="1:27" s="13" customFormat="1" x14ac:dyDescent="0.35">
      <c r="A118" s="238"/>
      <c r="B118" s="277"/>
      <c r="C118" s="279"/>
      <c r="D118" s="281"/>
      <c r="E118" s="238"/>
      <c r="F118" s="282"/>
      <c r="G118" s="238"/>
      <c r="H118" s="283"/>
      <c r="I118" s="64" t="s">
        <v>3</v>
      </c>
      <c r="J118" s="65" t="s">
        <v>4</v>
      </c>
      <c r="K118" s="227"/>
      <c r="L118" s="296"/>
      <c r="M118" s="238"/>
      <c r="N118" s="288"/>
      <c r="O118" s="64" t="s">
        <v>3</v>
      </c>
      <c r="P118" s="66" t="s">
        <v>4</v>
      </c>
      <c r="Q118" s="238"/>
      <c r="R118" s="282"/>
      <c r="S118" s="64" t="s">
        <v>24</v>
      </c>
      <c r="T118" s="288"/>
      <c r="U118" s="238"/>
      <c r="V118" s="302"/>
      <c r="W118" s="300"/>
      <c r="X118" s="302"/>
      <c r="Y118" s="302"/>
      <c r="Z118" s="303"/>
      <c r="AA118" s="303"/>
    </row>
    <row r="119" spans="1:27" s="61" customFormat="1" ht="13.5" thickBot="1" x14ac:dyDescent="0.4">
      <c r="A119" s="41">
        <v>1</v>
      </c>
      <c r="B119" s="42">
        <v>2</v>
      </c>
      <c r="C119" s="43">
        <v>3</v>
      </c>
      <c r="D119" s="44">
        <v>4</v>
      </c>
      <c r="E119" s="41">
        <v>5</v>
      </c>
      <c r="F119" s="44">
        <v>6</v>
      </c>
      <c r="G119" s="41">
        <v>7</v>
      </c>
      <c r="H119" s="45">
        <v>8</v>
      </c>
      <c r="I119" s="41">
        <v>9</v>
      </c>
      <c r="J119" s="41">
        <v>10</v>
      </c>
      <c r="K119" s="41"/>
      <c r="L119" s="41">
        <v>11</v>
      </c>
      <c r="M119" s="42">
        <v>12</v>
      </c>
      <c r="N119" s="84">
        <v>13</v>
      </c>
      <c r="O119" s="42">
        <v>14</v>
      </c>
      <c r="P119" s="41">
        <v>15</v>
      </c>
      <c r="Q119" s="42">
        <v>16</v>
      </c>
      <c r="R119" s="41">
        <v>17</v>
      </c>
      <c r="S119" s="42">
        <v>18</v>
      </c>
      <c r="T119" s="41">
        <v>19</v>
      </c>
      <c r="U119" s="42">
        <v>20</v>
      </c>
      <c r="V119" s="84">
        <v>21</v>
      </c>
      <c r="W119" s="90">
        <v>22</v>
      </c>
      <c r="X119" s="84">
        <v>23</v>
      </c>
      <c r="Y119" s="45">
        <v>24</v>
      </c>
      <c r="Z119" s="41">
        <v>25</v>
      </c>
      <c r="AA119" s="41">
        <v>26</v>
      </c>
    </row>
    <row r="120" spans="1:27" ht="16" thickTop="1" x14ac:dyDescent="0.35">
      <c r="A120" s="18">
        <v>1</v>
      </c>
      <c r="B120" s="77" t="s">
        <v>519</v>
      </c>
      <c r="C120" s="34" t="s">
        <v>656</v>
      </c>
      <c r="D120" s="12" t="s">
        <v>629</v>
      </c>
      <c r="E120" s="18"/>
      <c r="F120" s="12" t="s">
        <v>160</v>
      </c>
      <c r="G120" s="21">
        <v>27351</v>
      </c>
      <c r="H120" s="16">
        <v>36861</v>
      </c>
      <c r="I120" s="18">
        <f ca="1">DATEDIF(H120,$A$5,"Y")</f>
        <v>23</v>
      </c>
      <c r="J120" s="18">
        <f t="shared" ref="J120:J125" ca="1" si="14">DATEDIF(H120,$A$5,"YM")</f>
        <v>10</v>
      </c>
      <c r="K120" s="50" t="s">
        <v>1133</v>
      </c>
      <c r="L120" s="49"/>
      <c r="M120" s="18" t="s">
        <v>760</v>
      </c>
      <c r="N120" s="83">
        <v>42278</v>
      </c>
      <c r="O120" s="18">
        <v>14</v>
      </c>
      <c r="P120" s="12">
        <v>10</v>
      </c>
      <c r="Q120" s="18" t="s">
        <v>793</v>
      </c>
      <c r="S120" s="18" t="s">
        <v>39</v>
      </c>
      <c r="T120" s="12" t="s">
        <v>40</v>
      </c>
      <c r="U120" s="18" t="str">
        <f ca="1">DATEDIF(G120,$A$5,"Y") &amp;" Tahun, "&amp;DATEDIF(G120,$A$5,"YM") &amp;" Bulan, "&amp;DATEDIF(G120,$A$5,"MD") &amp;" Hari"</f>
        <v>49 Tahun, 10 Bulan, 20 Hari</v>
      </c>
      <c r="V120" s="170" t="s">
        <v>835</v>
      </c>
      <c r="W120" s="167">
        <v>761.75</v>
      </c>
      <c r="X120" s="166">
        <v>42125</v>
      </c>
      <c r="Y120" s="79"/>
      <c r="Z120" s="50"/>
      <c r="AA120" s="50"/>
    </row>
    <row r="121" spans="1:27" x14ac:dyDescent="0.35">
      <c r="A121" s="18">
        <v>2</v>
      </c>
      <c r="B121" s="78" t="s">
        <v>529</v>
      </c>
      <c r="C121" s="31" t="s">
        <v>665</v>
      </c>
      <c r="D121" s="12" t="s">
        <v>629</v>
      </c>
      <c r="E121" s="18"/>
      <c r="F121" s="12" t="s">
        <v>731</v>
      </c>
      <c r="G121" s="21">
        <v>30552</v>
      </c>
      <c r="H121" s="16">
        <v>40148</v>
      </c>
      <c r="I121" s="18">
        <f t="shared" ref="I121:I126" ca="1" si="15">DATEDIF(H121,$A$5,"Y")</f>
        <v>14</v>
      </c>
      <c r="J121" s="18">
        <f t="shared" ca="1" si="14"/>
        <v>10</v>
      </c>
      <c r="K121" s="50" t="s">
        <v>1133</v>
      </c>
      <c r="L121" s="50"/>
      <c r="M121" s="18" t="s">
        <v>179</v>
      </c>
      <c r="N121" s="83">
        <v>44470</v>
      </c>
      <c r="O121" s="18">
        <v>11</v>
      </c>
      <c r="P121" s="12">
        <v>10</v>
      </c>
      <c r="Q121" s="18" t="s">
        <v>803</v>
      </c>
      <c r="S121" s="18" t="s">
        <v>39</v>
      </c>
      <c r="T121" s="12" t="s">
        <v>40</v>
      </c>
      <c r="U121" s="18" t="str">
        <f t="shared" ref="U121:U126" ca="1" si="16">DATEDIF(G121,$A$5,"Y") &amp;" Tahun, "&amp;DATEDIF(G121,$A$5,"YM") &amp;" Bulan, "&amp;DATEDIF(G121,$A$5,"MD") &amp;" Hari"</f>
        <v>41 Tahun, 1 Bulan, 14 Hari</v>
      </c>
      <c r="V121" s="86" t="s">
        <v>836</v>
      </c>
      <c r="W121" s="165">
        <v>280.25</v>
      </c>
      <c r="X121" s="166">
        <v>43831</v>
      </c>
      <c r="Y121" s="21" t="s">
        <v>872</v>
      </c>
      <c r="Z121" s="21">
        <v>44957</v>
      </c>
      <c r="AA121" s="18"/>
    </row>
    <row r="122" spans="1:27" x14ac:dyDescent="0.35">
      <c r="A122" s="18">
        <v>3</v>
      </c>
      <c r="B122" s="78" t="s">
        <v>527</v>
      </c>
      <c r="C122" s="31" t="s">
        <v>663</v>
      </c>
      <c r="D122" s="12" t="s">
        <v>33</v>
      </c>
      <c r="E122" s="18"/>
      <c r="F122" s="12" t="s">
        <v>729</v>
      </c>
      <c r="G122" s="21">
        <v>31322</v>
      </c>
      <c r="H122" s="16">
        <v>39783</v>
      </c>
      <c r="I122" s="18">
        <f t="shared" ca="1" si="15"/>
        <v>15</v>
      </c>
      <c r="J122" s="18">
        <f t="shared" ca="1" si="14"/>
        <v>10</v>
      </c>
      <c r="K122" s="50" t="s">
        <v>1133</v>
      </c>
      <c r="L122" s="50"/>
      <c r="M122" s="18" t="s">
        <v>178</v>
      </c>
      <c r="N122" s="83">
        <v>43739</v>
      </c>
      <c r="O122" s="18">
        <v>10</v>
      </c>
      <c r="P122" s="12">
        <v>10</v>
      </c>
      <c r="Q122" s="18" t="s">
        <v>801</v>
      </c>
      <c r="S122" s="18" t="s">
        <v>220</v>
      </c>
      <c r="T122" s="12" t="s">
        <v>219</v>
      </c>
      <c r="U122" s="18" t="str">
        <f t="shared" ca="1" si="16"/>
        <v>39 Tahun, 0 Bulan, 6 Hari</v>
      </c>
      <c r="V122" s="86" t="s">
        <v>836</v>
      </c>
      <c r="W122" s="165">
        <v>343.5</v>
      </c>
      <c r="X122" s="166">
        <v>41730</v>
      </c>
      <c r="Y122" s="21"/>
      <c r="Z122" s="18"/>
      <c r="AA122" s="18"/>
    </row>
    <row r="123" spans="1:27" x14ac:dyDescent="0.35">
      <c r="A123" s="18">
        <v>4</v>
      </c>
      <c r="B123" s="78" t="s">
        <v>520</v>
      </c>
      <c r="C123" s="31" t="s">
        <v>1159</v>
      </c>
      <c r="D123" s="12" t="s">
        <v>629</v>
      </c>
      <c r="E123" s="18"/>
      <c r="F123" s="12" t="s">
        <v>318</v>
      </c>
      <c r="G123" s="21">
        <v>25312</v>
      </c>
      <c r="H123" s="16">
        <v>37956</v>
      </c>
      <c r="I123" s="18">
        <f t="shared" ca="1" si="15"/>
        <v>20</v>
      </c>
      <c r="J123" s="18">
        <f t="shared" ca="1" si="14"/>
        <v>10</v>
      </c>
      <c r="K123" s="50" t="s">
        <v>1133</v>
      </c>
      <c r="L123" s="50"/>
      <c r="M123" s="18" t="s">
        <v>760</v>
      </c>
      <c r="N123" s="83">
        <v>43009</v>
      </c>
      <c r="O123" s="18">
        <v>13</v>
      </c>
      <c r="P123" s="12">
        <v>10</v>
      </c>
      <c r="Q123" s="18" t="s">
        <v>794</v>
      </c>
      <c r="S123" s="18" t="s">
        <v>39</v>
      </c>
      <c r="T123" s="12" t="s">
        <v>40</v>
      </c>
      <c r="U123" s="18" t="str">
        <f t="shared" ca="1" si="16"/>
        <v>55 Tahun, 5 Bulan, 19 Hari</v>
      </c>
      <c r="V123" s="170" t="s">
        <v>835</v>
      </c>
      <c r="W123" s="167">
        <v>744.1</v>
      </c>
      <c r="X123" s="166">
        <v>41944</v>
      </c>
      <c r="Y123" s="79"/>
      <c r="Z123" s="50"/>
      <c r="AA123" s="50"/>
    </row>
    <row r="124" spans="1:27" x14ac:dyDescent="0.35">
      <c r="A124" s="18">
        <v>5</v>
      </c>
      <c r="B124" s="78" t="s">
        <v>526</v>
      </c>
      <c r="C124" s="31" t="s">
        <v>662</v>
      </c>
      <c r="D124" s="12" t="s">
        <v>33</v>
      </c>
      <c r="E124" s="18"/>
      <c r="F124" s="12" t="s">
        <v>725</v>
      </c>
      <c r="G124" s="21">
        <v>27858</v>
      </c>
      <c r="H124" s="16">
        <v>39783</v>
      </c>
      <c r="I124" s="18">
        <f t="shared" ca="1" si="15"/>
        <v>15</v>
      </c>
      <c r="J124" s="18">
        <f t="shared" ca="1" si="14"/>
        <v>10</v>
      </c>
      <c r="K124" s="50" t="s">
        <v>1133</v>
      </c>
      <c r="L124" s="50"/>
      <c r="M124" s="18" t="s">
        <v>178</v>
      </c>
      <c r="N124" s="83">
        <v>43739</v>
      </c>
      <c r="O124" s="18">
        <v>10</v>
      </c>
      <c r="P124" s="12">
        <v>10</v>
      </c>
      <c r="Q124" s="18" t="s">
        <v>800</v>
      </c>
      <c r="S124" s="18" t="s">
        <v>39</v>
      </c>
      <c r="T124" s="12" t="s">
        <v>40</v>
      </c>
      <c r="U124" s="18" t="str">
        <f t="shared" ca="1" si="16"/>
        <v>48 Tahun, 6 Bulan, 0 Hari</v>
      </c>
      <c r="V124" s="170" t="s">
        <v>836</v>
      </c>
      <c r="W124" s="165">
        <v>343.5</v>
      </c>
      <c r="X124" s="166">
        <v>41730</v>
      </c>
      <c r="Y124" s="80" t="s">
        <v>871</v>
      </c>
      <c r="Z124" s="18">
        <v>2022</v>
      </c>
      <c r="AA124" s="18"/>
    </row>
    <row r="125" spans="1:27" x14ac:dyDescent="0.35">
      <c r="A125" s="18">
        <v>6</v>
      </c>
      <c r="B125" s="78" t="s">
        <v>524</v>
      </c>
      <c r="C125" s="31" t="s">
        <v>660</v>
      </c>
      <c r="D125" s="12" t="s">
        <v>33</v>
      </c>
      <c r="E125" s="18"/>
      <c r="F125" s="12" t="s">
        <v>727</v>
      </c>
      <c r="G125" s="21">
        <v>26233</v>
      </c>
      <c r="H125" s="16">
        <v>37591</v>
      </c>
      <c r="I125" s="18">
        <f ca="1">DATEDIF(H125,$A$5,"Y")</f>
        <v>21</v>
      </c>
      <c r="J125" s="18">
        <f t="shared" ca="1" si="14"/>
        <v>10</v>
      </c>
      <c r="K125" s="50" t="s">
        <v>1133</v>
      </c>
      <c r="L125" s="50"/>
      <c r="M125" s="18" t="s">
        <v>177</v>
      </c>
      <c r="N125" s="83">
        <v>44287</v>
      </c>
      <c r="O125" s="18">
        <v>18</v>
      </c>
      <c r="P125" s="12">
        <v>4</v>
      </c>
      <c r="Q125" s="18" t="s">
        <v>798</v>
      </c>
      <c r="S125" s="18" t="s">
        <v>39</v>
      </c>
      <c r="T125" s="12" t="s">
        <v>40</v>
      </c>
      <c r="U125" s="18" t="str">
        <f ca="1">DATEDIF(G125,$A$5,"Y") &amp;" Tahun, "&amp;DATEDIF(G125,$A$5,"YM") &amp;" Bulan, "&amp;DATEDIF(G125,$A$5,"MD") &amp;" Hari"</f>
        <v>52 Tahun, 11 Bulan, 11 Hari</v>
      </c>
      <c r="V125" s="170" t="s">
        <v>835</v>
      </c>
      <c r="W125" s="165">
        <v>442.25</v>
      </c>
      <c r="X125" s="166">
        <v>42125</v>
      </c>
      <c r="Y125" s="21" t="s">
        <v>869</v>
      </c>
      <c r="Z125" s="18"/>
      <c r="AA125" s="18"/>
    </row>
    <row r="126" spans="1:27" x14ac:dyDescent="0.35">
      <c r="A126" s="18">
        <v>7</v>
      </c>
      <c r="B126" s="78" t="s">
        <v>1192</v>
      </c>
      <c r="C126" s="31" t="s">
        <v>1193</v>
      </c>
      <c r="D126" s="12" t="s">
        <v>33</v>
      </c>
      <c r="E126" s="18"/>
      <c r="F126" s="12" t="s">
        <v>369</v>
      </c>
      <c r="G126" s="21">
        <v>35419</v>
      </c>
      <c r="H126" s="16">
        <v>45444</v>
      </c>
      <c r="I126" s="18">
        <f t="shared" ca="1" si="15"/>
        <v>0</v>
      </c>
      <c r="J126" s="18">
        <v>0</v>
      </c>
      <c r="K126" s="50" t="s">
        <v>1133</v>
      </c>
      <c r="L126" s="50"/>
      <c r="M126" s="18" t="s">
        <v>180</v>
      </c>
      <c r="N126" s="83">
        <v>45444</v>
      </c>
      <c r="O126" s="18">
        <v>0</v>
      </c>
      <c r="P126" s="12">
        <v>0</v>
      </c>
      <c r="Q126" s="18"/>
      <c r="S126" s="18" t="s">
        <v>220</v>
      </c>
      <c r="T126" s="12" t="s">
        <v>40</v>
      </c>
      <c r="U126" s="18" t="str">
        <f t="shared" ca="1" si="16"/>
        <v>27 Tahun, 9 Bulan, 18 Hari</v>
      </c>
      <c r="V126" s="86" t="s">
        <v>837</v>
      </c>
      <c r="W126" s="88">
        <v>0</v>
      </c>
      <c r="X126" s="92">
        <v>45444</v>
      </c>
      <c r="Y126" s="21"/>
      <c r="Z126" s="18"/>
      <c r="AA126" s="18" t="s">
        <v>1167</v>
      </c>
    </row>
    <row r="127" spans="1:27" x14ac:dyDescent="0.35">
      <c r="C127" s="62"/>
      <c r="G127" s="16"/>
      <c r="H127" s="16"/>
      <c r="N127" s="83"/>
      <c r="W127" s="88"/>
      <c r="X127" s="83"/>
      <c r="Y127" s="16"/>
    </row>
    <row r="130" spans="1:27" x14ac:dyDescent="0.35">
      <c r="A130" s="46" t="str">
        <f>A99</f>
        <v>JURUSAN : PERTANIAN</v>
      </c>
      <c r="B130" s="36"/>
      <c r="C130" s="36"/>
      <c r="D130" s="36"/>
    </row>
    <row r="131" spans="1:27" x14ac:dyDescent="0.35">
      <c r="A131" s="36" t="s">
        <v>409</v>
      </c>
    </row>
    <row r="132" spans="1:27" s="13" customFormat="1" ht="17" customHeight="1" x14ac:dyDescent="0.35">
      <c r="A132" s="238" t="s">
        <v>13</v>
      </c>
      <c r="B132" s="277" t="s">
        <v>14</v>
      </c>
      <c r="C132" s="278" t="s">
        <v>19</v>
      </c>
      <c r="D132" s="280" t="s">
        <v>15</v>
      </c>
      <c r="E132" s="238" t="s">
        <v>18</v>
      </c>
      <c r="F132" s="282" t="s">
        <v>16</v>
      </c>
      <c r="G132" s="238" t="s">
        <v>17</v>
      </c>
      <c r="H132" s="283" t="s">
        <v>36</v>
      </c>
      <c r="I132" s="284" t="s">
        <v>30</v>
      </c>
      <c r="J132" s="285"/>
      <c r="K132" s="226" t="s">
        <v>1215</v>
      </c>
      <c r="L132" s="295" t="s">
        <v>268</v>
      </c>
      <c r="M132" s="238" t="s">
        <v>20</v>
      </c>
      <c r="N132" s="303" t="s">
        <v>21</v>
      </c>
      <c r="O132" s="297" t="s">
        <v>29</v>
      </c>
      <c r="P132" s="298"/>
      <c r="Q132" s="238" t="s">
        <v>22</v>
      </c>
      <c r="R132" s="282" t="s">
        <v>23</v>
      </c>
      <c r="S132" s="64" t="s">
        <v>31</v>
      </c>
      <c r="T132" s="288" t="s">
        <v>25</v>
      </c>
      <c r="U132" s="238" t="s">
        <v>26</v>
      </c>
      <c r="V132" s="301" t="s">
        <v>258</v>
      </c>
      <c r="W132" s="299" t="s">
        <v>838</v>
      </c>
      <c r="X132" s="301" t="s">
        <v>839</v>
      </c>
      <c r="Y132" s="301" t="s">
        <v>840</v>
      </c>
      <c r="Z132" s="303" t="s">
        <v>841</v>
      </c>
      <c r="AA132" s="303" t="s">
        <v>852</v>
      </c>
    </row>
    <row r="133" spans="1:27" s="13" customFormat="1" x14ac:dyDescent="0.35">
      <c r="A133" s="238"/>
      <c r="B133" s="277"/>
      <c r="C133" s="279"/>
      <c r="D133" s="281"/>
      <c r="E133" s="238"/>
      <c r="F133" s="282"/>
      <c r="G133" s="238"/>
      <c r="H133" s="283"/>
      <c r="I133" s="64" t="s">
        <v>3</v>
      </c>
      <c r="J133" s="65" t="s">
        <v>4</v>
      </c>
      <c r="K133" s="227"/>
      <c r="L133" s="296"/>
      <c r="M133" s="238"/>
      <c r="N133" s="288"/>
      <c r="O133" s="64" t="s">
        <v>3</v>
      </c>
      <c r="P133" s="66" t="s">
        <v>4</v>
      </c>
      <c r="Q133" s="238"/>
      <c r="R133" s="282"/>
      <c r="S133" s="64" t="s">
        <v>24</v>
      </c>
      <c r="T133" s="288"/>
      <c r="U133" s="238"/>
      <c r="V133" s="302"/>
      <c r="W133" s="300"/>
      <c r="X133" s="302"/>
      <c r="Y133" s="302"/>
      <c r="Z133" s="303"/>
      <c r="AA133" s="303"/>
    </row>
    <row r="134" spans="1:27" s="61" customFormat="1" ht="13.5" thickBot="1" x14ac:dyDescent="0.4">
      <c r="A134" s="41">
        <v>1</v>
      </c>
      <c r="B134" s="42">
        <v>2</v>
      </c>
      <c r="C134" s="43">
        <v>3</v>
      </c>
      <c r="D134" s="44">
        <v>4</v>
      </c>
      <c r="E134" s="41">
        <v>5</v>
      </c>
      <c r="F134" s="44">
        <v>6</v>
      </c>
      <c r="G134" s="41">
        <v>7</v>
      </c>
      <c r="H134" s="45">
        <v>8</v>
      </c>
      <c r="I134" s="41">
        <v>9</v>
      </c>
      <c r="J134" s="41">
        <v>10</v>
      </c>
      <c r="K134" s="41"/>
      <c r="L134" s="41">
        <v>11</v>
      </c>
      <c r="M134" s="42">
        <v>12</v>
      </c>
      <c r="N134" s="84">
        <v>13</v>
      </c>
      <c r="O134" s="42">
        <v>14</v>
      </c>
      <c r="P134" s="41">
        <v>15</v>
      </c>
      <c r="Q134" s="42">
        <v>16</v>
      </c>
      <c r="R134" s="41">
        <v>17</v>
      </c>
      <c r="S134" s="42">
        <v>18</v>
      </c>
      <c r="T134" s="41">
        <v>19</v>
      </c>
      <c r="U134" s="42">
        <v>20</v>
      </c>
      <c r="V134" s="84">
        <v>21</v>
      </c>
      <c r="W134" s="90">
        <v>22</v>
      </c>
      <c r="X134" s="84">
        <v>23</v>
      </c>
      <c r="Y134" s="45">
        <v>24</v>
      </c>
      <c r="Z134" s="41">
        <v>25</v>
      </c>
      <c r="AA134" s="41">
        <v>26</v>
      </c>
    </row>
    <row r="135" spans="1:27" ht="16" thickTop="1" x14ac:dyDescent="0.35">
      <c r="A135" s="18">
        <v>1</v>
      </c>
      <c r="B135" s="77" t="s">
        <v>533</v>
      </c>
      <c r="C135" s="34" t="s">
        <v>669</v>
      </c>
      <c r="D135" s="12" t="s">
        <v>33</v>
      </c>
      <c r="E135" s="18"/>
      <c r="F135" s="12" t="s">
        <v>35</v>
      </c>
      <c r="G135" s="21">
        <v>26597</v>
      </c>
      <c r="H135" s="16">
        <v>37226</v>
      </c>
      <c r="I135" s="18">
        <f t="shared" ref="I135:I140" ca="1" si="17">DATEDIF(H135,$A$5,"Y")</f>
        <v>22</v>
      </c>
      <c r="J135" s="18">
        <f t="shared" ref="J135:J140" ca="1" si="18">DATEDIF(H135,$A$5,"YM")</f>
        <v>10</v>
      </c>
      <c r="K135" s="50" t="s">
        <v>1133</v>
      </c>
      <c r="L135" s="49"/>
      <c r="M135" s="18" t="s">
        <v>760</v>
      </c>
      <c r="N135" s="83">
        <v>43009</v>
      </c>
      <c r="O135" s="18">
        <v>15</v>
      </c>
      <c r="P135" s="12">
        <v>10</v>
      </c>
      <c r="Q135" s="18" t="s">
        <v>805</v>
      </c>
      <c r="S135" s="18" t="s">
        <v>39</v>
      </c>
      <c r="T135" s="12" t="s">
        <v>40</v>
      </c>
      <c r="U135" s="18" t="str">
        <f t="shared" ref="U135:U140" ca="1" si="19">DATEDIF(G135,$A$5,"Y") &amp;" Tahun, "&amp;DATEDIF(G135,$A$5,"YM") &amp;" Bulan, "&amp;DATEDIF(G135,$A$5,"MD") &amp;" Hari"</f>
        <v>51 Tahun, 11 Bulan, 13 Hari</v>
      </c>
      <c r="V135" s="86" t="s">
        <v>835</v>
      </c>
      <c r="W135" s="81">
        <v>708.92</v>
      </c>
      <c r="X135" s="92">
        <v>42095</v>
      </c>
      <c r="Y135" s="79"/>
      <c r="Z135" s="50"/>
      <c r="AA135" s="50"/>
    </row>
    <row r="136" spans="1:27" x14ac:dyDescent="0.35">
      <c r="A136" s="18">
        <v>2</v>
      </c>
      <c r="B136" s="78" t="s">
        <v>536</v>
      </c>
      <c r="C136" s="31" t="s">
        <v>1155</v>
      </c>
      <c r="D136" s="12" t="s">
        <v>33</v>
      </c>
      <c r="E136" s="18"/>
      <c r="F136" s="12" t="s">
        <v>35</v>
      </c>
      <c r="G136" s="21">
        <v>27038</v>
      </c>
      <c r="H136" s="16">
        <v>36861</v>
      </c>
      <c r="I136" s="18">
        <f t="shared" ca="1" si="17"/>
        <v>23</v>
      </c>
      <c r="J136" s="18">
        <f t="shared" ca="1" si="18"/>
        <v>10</v>
      </c>
      <c r="K136" s="50" t="s">
        <v>1133</v>
      </c>
      <c r="L136" s="50"/>
      <c r="M136" s="18" t="s">
        <v>177</v>
      </c>
      <c r="N136" s="83">
        <v>42278</v>
      </c>
      <c r="O136" s="18">
        <v>15</v>
      </c>
      <c r="P136" s="12">
        <v>4</v>
      </c>
      <c r="Q136" s="18" t="s">
        <v>806</v>
      </c>
      <c r="S136" s="18" t="s">
        <v>220</v>
      </c>
      <c r="T136" s="12" t="s">
        <v>40</v>
      </c>
      <c r="U136" s="18" t="str">
        <f t="shared" ca="1" si="19"/>
        <v>50 Tahun, 8 Bulan, 29 Hari</v>
      </c>
      <c r="V136" s="86" t="s">
        <v>835</v>
      </c>
      <c r="W136" s="88">
        <v>520</v>
      </c>
      <c r="X136" s="92">
        <v>42125</v>
      </c>
      <c r="Y136" s="79"/>
      <c r="Z136" s="50"/>
      <c r="AA136" s="50"/>
    </row>
    <row r="137" spans="1:27" x14ac:dyDescent="0.35">
      <c r="A137" s="18">
        <v>3</v>
      </c>
      <c r="B137" s="78" t="s">
        <v>537</v>
      </c>
      <c r="C137" s="31" t="s">
        <v>671</v>
      </c>
      <c r="D137" s="12" t="s">
        <v>33</v>
      </c>
      <c r="E137" s="18"/>
      <c r="F137" s="12" t="s">
        <v>171</v>
      </c>
      <c r="G137" s="21">
        <v>24436</v>
      </c>
      <c r="H137" s="16">
        <v>37226</v>
      </c>
      <c r="I137" s="18">
        <f t="shared" ca="1" si="17"/>
        <v>22</v>
      </c>
      <c r="J137" s="18">
        <f t="shared" ca="1" si="18"/>
        <v>10</v>
      </c>
      <c r="K137" s="50" t="s">
        <v>1133</v>
      </c>
      <c r="L137" s="50"/>
      <c r="M137" s="18" t="s">
        <v>177</v>
      </c>
      <c r="N137" s="83">
        <v>40634</v>
      </c>
      <c r="O137" s="18">
        <v>14</v>
      </c>
      <c r="P137" s="12">
        <v>4</v>
      </c>
      <c r="Q137" s="18" t="s">
        <v>807</v>
      </c>
      <c r="S137" s="18" t="s">
        <v>220</v>
      </c>
      <c r="T137" s="12" t="s">
        <v>40</v>
      </c>
      <c r="U137" s="18" t="str">
        <f t="shared" ca="1" si="19"/>
        <v>57 Tahun, 10 Bulan, 13 Hari</v>
      </c>
      <c r="V137" s="86" t="s">
        <v>835</v>
      </c>
      <c r="W137" s="88">
        <v>420.5</v>
      </c>
      <c r="X137" s="92">
        <v>39783</v>
      </c>
      <c r="Y137" s="21" t="s">
        <v>875</v>
      </c>
      <c r="Z137" s="21">
        <v>44957</v>
      </c>
      <c r="AA137" s="18"/>
    </row>
    <row r="138" spans="1:27" x14ac:dyDescent="0.35">
      <c r="A138" s="18">
        <v>4</v>
      </c>
      <c r="B138" s="78" t="s">
        <v>538</v>
      </c>
      <c r="C138" s="31" t="s">
        <v>672</v>
      </c>
      <c r="D138" s="12" t="s">
        <v>33</v>
      </c>
      <c r="E138" s="18"/>
      <c r="F138" s="12" t="s">
        <v>369</v>
      </c>
      <c r="G138" s="21">
        <v>26801</v>
      </c>
      <c r="H138" s="16">
        <v>38353</v>
      </c>
      <c r="I138" s="18">
        <f t="shared" ca="1" si="17"/>
        <v>19</v>
      </c>
      <c r="J138" s="18">
        <f t="shared" ca="1" si="18"/>
        <v>9</v>
      </c>
      <c r="K138" s="50" t="s">
        <v>1133</v>
      </c>
      <c r="L138" s="50"/>
      <c r="M138" s="18" t="s">
        <v>177</v>
      </c>
      <c r="N138" s="83">
        <v>43191</v>
      </c>
      <c r="O138" s="18">
        <v>13</v>
      </c>
      <c r="P138" s="12">
        <v>3</v>
      </c>
      <c r="Q138" s="18" t="s">
        <v>808</v>
      </c>
      <c r="S138" s="18" t="s">
        <v>39</v>
      </c>
      <c r="T138" s="12" t="s">
        <v>40</v>
      </c>
      <c r="U138" s="18" t="str">
        <f t="shared" ca="1" si="19"/>
        <v>51 Tahun, 4 Bulan, 21 Hari</v>
      </c>
      <c r="V138" s="86" t="s">
        <v>835</v>
      </c>
      <c r="W138" s="81">
        <v>410.16</v>
      </c>
      <c r="X138" s="92">
        <v>42125</v>
      </c>
      <c r="Y138" s="21" t="s">
        <v>876</v>
      </c>
      <c r="Z138" s="21">
        <v>44957</v>
      </c>
      <c r="AA138" s="18"/>
    </row>
    <row r="139" spans="1:27" x14ac:dyDescent="0.35">
      <c r="A139" s="18">
        <v>5</v>
      </c>
      <c r="B139" s="78" t="s">
        <v>540</v>
      </c>
      <c r="C139" s="31" t="s">
        <v>673</v>
      </c>
      <c r="D139" s="12" t="s">
        <v>33</v>
      </c>
      <c r="E139" s="18"/>
      <c r="F139" s="12" t="s">
        <v>734</v>
      </c>
      <c r="G139" s="21">
        <v>29253</v>
      </c>
      <c r="H139" s="16">
        <v>39783</v>
      </c>
      <c r="I139" s="18">
        <f t="shared" ca="1" si="17"/>
        <v>15</v>
      </c>
      <c r="J139" s="18">
        <f t="shared" ca="1" si="18"/>
        <v>10</v>
      </c>
      <c r="K139" s="50" t="s">
        <v>1133</v>
      </c>
      <c r="L139" s="50"/>
      <c r="M139" s="18" t="s">
        <v>178</v>
      </c>
      <c r="N139" s="83">
        <v>44835</v>
      </c>
      <c r="O139" s="18">
        <v>13</v>
      </c>
      <c r="P139" s="12">
        <v>10</v>
      </c>
      <c r="Q139" s="18" t="s">
        <v>809</v>
      </c>
      <c r="S139" s="18" t="s">
        <v>39</v>
      </c>
      <c r="T139" s="12" t="s">
        <v>40</v>
      </c>
      <c r="U139" s="18" t="str">
        <f t="shared" ca="1" si="19"/>
        <v>44 Tahun, 8 Bulan, 6 Hari</v>
      </c>
      <c r="V139" s="86" t="s">
        <v>836</v>
      </c>
      <c r="W139" s="81">
        <v>558.95000000000005</v>
      </c>
      <c r="X139" s="92">
        <v>43709</v>
      </c>
      <c r="Y139" s="21"/>
      <c r="Z139" s="18"/>
      <c r="AA139" s="18"/>
    </row>
    <row r="140" spans="1:27" x14ac:dyDescent="0.35">
      <c r="A140" s="18">
        <v>6</v>
      </c>
      <c r="B140" s="78" t="s">
        <v>542</v>
      </c>
      <c r="C140" s="31" t="s">
        <v>674</v>
      </c>
      <c r="D140" s="12" t="s">
        <v>33</v>
      </c>
      <c r="E140" s="18"/>
      <c r="F140" s="12" t="s">
        <v>735</v>
      </c>
      <c r="G140" s="21">
        <v>34549</v>
      </c>
      <c r="H140" s="16">
        <v>44621</v>
      </c>
      <c r="I140" s="18">
        <f t="shared" ca="1" si="17"/>
        <v>2</v>
      </c>
      <c r="J140" s="18">
        <f t="shared" ca="1" si="18"/>
        <v>7</v>
      </c>
      <c r="K140" s="50" t="s">
        <v>1133</v>
      </c>
      <c r="L140" s="50"/>
      <c r="M140" s="18" t="s">
        <v>180</v>
      </c>
      <c r="N140" s="83">
        <v>44621</v>
      </c>
      <c r="O140" s="18"/>
      <c r="Q140" s="18"/>
      <c r="S140" s="18" t="s">
        <v>39</v>
      </c>
      <c r="T140" s="12" t="s">
        <v>40</v>
      </c>
      <c r="U140" s="18" t="str">
        <f t="shared" ca="1" si="19"/>
        <v>30 Tahun, 2 Bulan, 5 Hari</v>
      </c>
      <c r="V140" s="86" t="s">
        <v>837</v>
      </c>
      <c r="X140" s="92"/>
      <c r="Y140" s="21"/>
      <c r="Z140" s="18"/>
      <c r="AA140" s="18" t="s">
        <v>853</v>
      </c>
    </row>
    <row r="144" spans="1:27" x14ac:dyDescent="0.35">
      <c r="A144" s="46" t="str">
        <f>A99</f>
        <v>JURUSAN : PERTANIAN</v>
      </c>
      <c r="B144" s="36"/>
      <c r="C144" s="36"/>
      <c r="D144" s="36"/>
    </row>
    <row r="145" spans="1:27" x14ac:dyDescent="0.35">
      <c r="A145" s="36" t="s">
        <v>543</v>
      </c>
    </row>
    <row r="146" spans="1:27" s="13" customFormat="1" ht="17" customHeight="1" x14ac:dyDescent="0.35">
      <c r="A146" s="238" t="s">
        <v>13</v>
      </c>
      <c r="B146" s="277" t="s">
        <v>14</v>
      </c>
      <c r="C146" s="278" t="s">
        <v>19</v>
      </c>
      <c r="D146" s="280" t="s">
        <v>15</v>
      </c>
      <c r="E146" s="238" t="s">
        <v>18</v>
      </c>
      <c r="F146" s="282" t="s">
        <v>16</v>
      </c>
      <c r="G146" s="238" t="s">
        <v>17</v>
      </c>
      <c r="H146" s="283" t="s">
        <v>36</v>
      </c>
      <c r="I146" s="284" t="s">
        <v>30</v>
      </c>
      <c r="J146" s="285"/>
      <c r="K146" s="226" t="s">
        <v>1215</v>
      </c>
      <c r="L146" s="295" t="s">
        <v>268</v>
      </c>
      <c r="M146" s="238" t="s">
        <v>20</v>
      </c>
      <c r="N146" s="303" t="s">
        <v>21</v>
      </c>
      <c r="O146" s="297" t="s">
        <v>29</v>
      </c>
      <c r="P146" s="298"/>
      <c r="Q146" s="238" t="s">
        <v>22</v>
      </c>
      <c r="R146" s="282" t="s">
        <v>23</v>
      </c>
      <c r="S146" s="64" t="s">
        <v>31</v>
      </c>
      <c r="T146" s="288" t="s">
        <v>25</v>
      </c>
      <c r="U146" s="238" t="s">
        <v>26</v>
      </c>
      <c r="V146" s="301" t="s">
        <v>258</v>
      </c>
      <c r="W146" s="299" t="s">
        <v>838</v>
      </c>
      <c r="X146" s="301" t="s">
        <v>839</v>
      </c>
      <c r="Y146" s="301" t="s">
        <v>840</v>
      </c>
      <c r="Z146" s="303" t="s">
        <v>841</v>
      </c>
      <c r="AA146" s="303" t="s">
        <v>852</v>
      </c>
    </row>
    <row r="147" spans="1:27" s="13" customFormat="1" x14ac:dyDescent="0.35">
      <c r="A147" s="238"/>
      <c r="B147" s="277"/>
      <c r="C147" s="279"/>
      <c r="D147" s="281"/>
      <c r="E147" s="238"/>
      <c r="F147" s="282"/>
      <c r="G147" s="238"/>
      <c r="H147" s="283"/>
      <c r="I147" s="64" t="s">
        <v>3</v>
      </c>
      <c r="J147" s="65" t="s">
        <v>4</v>
      </c>
      <c r="K147" s="227"/>
      <c r="L147" s="296"/>
      <c r="M147" s="238"/>
      <c r="N147" s="288"/>
      <c r="O147" s="64" t="s">
        <v>3</v>
      </c>
      <c r="P147" s="66" t="s">
        <v>4</v>
      </c>
      <c r="Q147" s="238"/>
      <c r="R147" s="282"/>
      <c r="S147" s="64" t="s">
        <v>24</v>
      </c>
      <c r="T147" s="288"/>
      <c r="U147" s="238"/>
      <c r="V147" s="302"/>
      <c r="W147" s="300"/>
      <c r="X147" s="302"/>
      <c r="Y147" s="302"/>
      <c r="Z147" s="303"/>
      <c r="AA147" s="303"/>
    </row>
    <row r="148" spans="1:27" s="61" customFormat="1" ht="13.5" thickBot="1" x14ac:dyDescent="0.4">
      <c r="A148" s="41">
        <v>1</v>
      </c>
      <c r="B148" s="42">
        <v>2</v>
      </c>
      <c r="C148" s="43">
        <v>3</v>
      </c>
      <c r="D148" s="44">
        <v>4</v>
      </c>
      <c r="E148" s="41">
        <v>5</v>
      </c>
      <c r="F148" s="44">
        <v>6</v>
      </c>
      <c r="G148" s="41">
        <v>7</v>
      </c>
      <c r="H148" s="45">
        <v>8</v>
      </c>
      <c r="I148" s="41">
        <v>9</v>
      </c>
      <c r="J148" s="41">
        <v>10</v>
      </c>
      <c r="K148" s="41"/>
      <c r="L148" s="41">
        <v>11</v>
      </c>
      <c r="M148" s="42">
        <v>12</v>
      </c>
      <c r="N148" s="84">
        <v>13</v>
      </c>
      <c r="O148" s="42">
        <v>14</v>
      </c>
      <c r="P148" s="41">
        <v>15</v>
      </c>
      <c r="Q148" s="42">
        <v>16</v>
      </c>
      <c r="R148" s="41">
        <v>17</v>
      </c>
      <c r="S148" s="42">
        <v>18</v>
      </c>
      <c r="T148" s="41">
        <v>19</v>
      </c>
      <c r="U148" s="42">
        <v>20</v>
      </c>
      <c r="V148" s="84">
        <v>21</v>
      </c>
      <c r="W148" s="90">
        <v>22</v>
      </c>
      <c r="X148" s="84">
        <v>23</v>
      </c>
      <c r="Y148" s="45">
        <v>24</v>
      </c>
      <c r="Z148" s="41">
        <v>25</v>
      </c>
      <c r="AA148" s="41">
        <v>26</v>
      </c>
    </row>
    <row r="149" spans="1:27" ht="16" thickTop="1" x14ac:dyDescent="0.35">
      <c r="A149" s="18">
        <v>1</v>
      </c>
      <c r="B149" s="77" t="s">
        <v>544</v>
      </c>
      <c r="C149" s="34" t="s">
        <v>675</v>
      </c>
      <c r="D149" s="12" t="s">
        <v>629</v>
      </c>
      <c r="E149" s="18"/>
      <c r="F149" s="12" t="s">
        <v>736</v>
      </c>
      <c r="G149" s="21">
        <v>22538</v>
      </c>
      <c r="H149" s="93">
        <v>32874</v>
      </c>
      <c r="I149" s="76">
        <f ca="1">DATEDIF(H149,$A$5,"Y")</f>
        <v>34</v>
      </c>
      <c r="J149" s="18">
        <f ca="1">DATEDIF(H149,$A$5,"YM")</f>
        <v>9</v>
      </c>
      <c r="K149" s="50" t="s">
        <v>1133</v>
      </c>
      <c r="L149" s="49"/>
      <c r="M149" s="18" t="s">
        <v>760</v>
      </c>
      <c r="N149" s="83">
        <v>43009</v>
      </c>
      <c r="O149" s="18">
        <v>25</v>
      </c>
      <c r="P149" s="12">
        <v>9</v>
      </c>
      <c r="Q149" s="18" t="s">
        <v>810</v>
      </c>
      <c r="S149" s="18" t="s">
        <v>220</v>
      </c>
      <c r="T149" s="12" t="s">
        <v>40</v>
      </c>
      <c r="U149" s="18" t="str">
        <f ca="1">DATEDIF(G149,$A$5,"Y") &amp;" Tahun, "&amp;DATEDIF(G149,$A$5,"YM") &amp;" Bulan, "&amp;DATEDIF(G149,$A$5,"MD") &amp;" Hari"</f>
        <v>63 Tahun, 0 Bulan, 24 Hari</v>
      </c>
      <c r="V149" s="86" t="s">
        <v>835</v>
      </c>
      <c r="W149" s="88">
        <v>403</v>
      </c>
      <c r="X149" s="92">
        <v>42125</v>
      </c>
      <c r="Y149" s="21"/>
      <c r="Z149" s="18"/>
      <c r="AA149" s="18"/>
    </row>
    <row r="150" spans="1:27" x14ac:dyDescent="0.35">
      <c r="A150" s="18">
        <v>2</v>
      </c>
      <c r="B150" s="78" t="s">
        <v>545</v>
      </c>
      <c r="C150" s="34" t="s">
        <v>676</v>
      </c>
      <c r="D150" s="12" t="s">
        <v>33</v>
      </c>
      <c r="E150" s="18"/>
      <c r="F150" s="12" t="s">
        <v>390</v>
      </c>
      <c r="G150" s="21">
        <v>28364</v>
      </c>
      <c r="H150" s="21">
        <v>37226</v>
      </c>
      <c r="I150" s="76">
        <f t="shared" ref="I150:I160" ca="1" si="20">DATEDIF(H150,$A$5,"Y")</f>
        <v>22</v>
      </c>
      <c r="J150" s="18">
        <f t="shared" ref="J150:J161" ca="1" si="21">DATEDIF(H150,$A$5,"YM")</f>
        <v>10</v>
      </c>
      <c r="K150" s="50" t="s">
        <v>1133</v>
      </c>
      <c r="L150" s="50"/>
      <c r="M150" s="50" t="s">
        <v>760</v>
      </c>
      <c r="N150" s="83">
        <v>43009</v>
      </c>
      <c r="O150" s="18">
        <v>15</v>
      </c>
      <c r="P150" s="12">
        <v>10</v>
      </c>
      <c r="Q150" s="18" t="s">
        <v>811</v>
      </c>
      <c r="S150" s="18" t="s">
        <v>220</v>
      </c>
      <c r="T150" s="12" t="s">
        <v>40</v>
      </c>
      <c r="U150" s="18" t="str">
        <f t="shared" ref="U150:U161" ca="1" si="22">DATEDIF(G150,$A$5,"Y") &amp;" Tahun, "&amp;DATEDIF(G150,$A$5,"YM") &amp;" Bulan, "&amp;DATEDIF(G150,$A$5,"MD") &amp;" Hari"</f>
        <v>47 Tahun, 1 Bulan, 11 Hari</v>
      </c>
      <c r="V150" s="86" t="s">
        <v>835</v>
      </c>
      <c r="W150" s="88">
        <v>719.02</v>
      </c>
      <c r="X150" s="92">
        <v>42125</v>
      </c>
      <c r="Y150" s="21"/>
      <c r="Z150" s="18"/>
      <c r="AA150" s="18"/>
    </row>
    <row r="151" spans="1:27" x14ac:dyDescent="0.35">
      <c r="A151" s="18">
        <v>3</v>
      </c>
      <c r="B151" s="78" t="s">
        <v>546</v>
      </c>
      <c r="C151" s="34" t="s">
        <v>677</v>
      </c>
      <c r="D151" s="12" t="s">
        <v>33</v>
      </c>
      <c r="E151" s="18"/>
      <c r="F151" s="12" t="s">
        <v>152</v>
      </c>
      <c r="G151" s="21">
        <v>26462</v>
      </c>
      <c r="H151" s="21">
        <v>37226</v>
      </c>
      <c r="I151" s="76">
        <f t="shared" ca="1" si="20"/>
        <v>22</v>
      </c>
      <c r="J151" s="18">
        <f t="shared" ca="1" si="21"/>
        <v>10</v>
      </c>
      <c r="K151" s="50" t="s">
        <v>1133</v>
      </c>
      <c r="L151" s="50"/>
      <c r="M151" s="50" t="s">
        <v>177</v>
      </c>
      <c r="N151" s="83">
        <v>43739</v>
      </c>
      <c r="O151" s="18">
        <v>17</v>
      </c>
      <c r="P151" s="12">
        <v>10</v>
      </c>
      <c r="Q151" s="18" t="s">
        <v>812</v>
      </c>
      <c r="S151" s="18" t="s">
        <v>39</v>
      </c>
      <c r="T151" s="12" t="s">
        <v>40</v>
      </c>
      <c r="U151" s="18" t="str">
        <f t="shared" ca="1" si="22"/>
        <v>52 Tahun, 3 Bulan, 26 Hari</v>
      </c>
      <c r="V151" s="86" t="s">
        <v>835</v>
      </c>
      <c r="W151" s="88"/>
      <c r="X151" s="92"/>
      <c r="Y151" s="21"/>
      <c r="Z151" s="18"/>
      <c r="AA151" s="18"/>
    </row>
    <row r="152" spans="1:27" x14ac:dyDescent="0.35">
      <c r="A152" s="18">
        <v>4</v>
      </c>
      <c r="B152" s="78" t="s">
        <v>547</v>
      </c>
      <c r="C152" s="34" t="s">
        <v>678</v>
      </c>
      <c r="D152" s="12" t="s">
        <v>629</v>
      </c>
      <c r="E152" s="18"/>
      <c r="F152" s="12" t="s">
        <v>366</v>
      </c>
      <c r="G152" s="21">
        <v>25873</v>
      </c>
      <c r="H152" s="21">
        <v>38353</v>
      </c>
      <c r="I152" s="76">
        <f t="shared" ca="1" si="20"/>
        <v>19</v>
      </c>
      <c r="J152" s="18">
        <f t="shared" ca="1" si="21"/>
        <v>9</v>
      </c>
      <c r="K152" s="50" t="s">
        <v>1133</v>
      </c>
      <c r="L152" s="50"/>
      <c r="M152" s="50" t="s">
        <v>178</v>
      </c>
      <c r="N152" s="83">
        <v>40817</v>
      </c>
      <c r="O152" s="18">
        <v>10</v>
      </c>
      <c r="P152" s="12">
        <v>3</v>
      </c>
      <c r="Q152" s="18" t="s">
        <v>813</v>
      </c>
      <c r="S152" s="18" t="s">
        <v>39</v>
      </c>
      <c r="T152" s="12" t="s">
        <v>40</v>
      </c>
      <c r="U152" s="18" t="str">
        <f t="shared" ca="1" si="22"/>
        <v>53 Tahun, 11 Bulan, 7 Hari</v>
      </c>
      <c r="V152" s="86" t="s">
        <v>836</v>
      </c>
      <c r="W152" s="88">
        <v>244</v>
      </c>
      <c r="X152" s="92">
        <v>39417</v>
      </c>
      <c r="Y152" s="21" t="s">
        <v>877</v>
      </c>
      <c r="Z152" s="21">
        <v>44957</v>
      </c>
      <c r="AA152" s="18"/>
    </row>
    <row r="153" spans="1:27" x14ac:dyDescent="0.35">
      <c r="A153" s="18">
        <v>5</v>
      </c>
      <c r="B153" s="78" t="s">
        <v>548</v>
      </c>
      <c r="C153" s="34" t="s">
        <v>679</v>
      </c>
      <c r="D153" s="12" t="s">
        <v>629</v>
      </c>
      <c r="E153" s="18"/>
      <c r="F153" s="12" t="s">
        <v>725</v>
      </c>
      <c r="G153" s="21">
        <v>28269</v>
      </c>
      <c r="H153" s="21">
        <v>37591</v>
      </c>
      <c r="I153" s="76">
        <f t="shared" ca="1" si="20"/>
        <v>21</v>
      </c>
      <c r="J153" s="18">
        <f t="shared" ca="1" si="21"/>
        <v>10</v>
      </c>
      <c r="K153" s="50" t="s">
        <v>1133</v>
      </c>
      <c r="L153" s="50"/>
      <c r="M153" s="50" t="s">
        <v>178</v>
      </c>
      <c r="N153" s="83">
        <v>43922</v>
      </c>
      <c r="O153" s="18">
        <v>17</v>
      </c>
      <c r="P153" s="12">
        <v>4</v>
      </c>
      <c r="Q153" s="18" t="s">
        <v>814</v>
      </c>
      <c r="S153" s="18" t="s">
        <v>220</v>
      </c>
      <c r="T153" s="12" t="s">
        <v>219</v>
      </c>
      <c r="U153" s="18" t="str">
        <f t="shared" ca="1" si="22"/>
        <v>47 Tahun, 4 Bulan, 14 Hari</v>
      </c>
      <c r="V153" s="86" t="s">
        <v>836</v>
      </c>
      <c r="W153" s="88">
        <v>389.9</v>
      </c>
      <c r="X153" s="92">
        <v>40269</v>
      </c>
      <c r="Y153" s="21" t="s">
        <v>878</v>
      </c>
      <c r="Z153" s="21">
        <v>45239</v>
      </c>
      <c r="AA153" s="18"/>
    </row>
    <row r="154" spans="1:27" x14ac:dyDescent="0.35">
      <c r="A154" s="18">
        <v>6</v>
      </c>
      <c r="B154" s="78" t="s">
        <v>549</v>
      </c>
      <c r="C154" s="34" t="s">
        <v>680</v>
      </c>
      <c r="D154" s="12" t="s">
        <v>629</v>
      </c>
      <c r="E154" s="18"/>
      <c r="F154" s="12" t="s">
        <v>737</v>
      </c>
      <c r="G154" s="21">
        <v>26067</v>
      </c>
      <c r="H154" s="21">
        <v>35855</v>
      </c>
      <c r="I154" s="76">
        <f t="shared" ca="1" si="20"/>
        <v>26</v>
      </c>
      <c r="J154" s="18">
        <f t="shared" ca="1" si="21"/>
        <v>7</v>
      </c>
      <c r="K154" s="50" t="s">
        <v>1133</v>
      </c>
      <c r="L154" s="50"/>
      <c r="M154" s="50" t="s">
        <v>178</v>
      </c>
      <c r="N154" s="83">
        <v>43191</v>
      </c>
      <c r="O154" s="18">
        <v>18</v>
      </c>
      <c r="P154" s="12">
        <v>7</v>
      </c>
      <c r="Q154" s="18" t="s">
        <v>815</v>
      </c>
      <c r="S154" s="18" t="s">
        <v>39</v>
      </c>
      <c r="T154" s="12" t="s">
        <v>40</v>
      </c>
      <c r="U154" s="18" t="str">
        <f t="shared" ca="1" si="22"/>
        <v>53 Tahun, 4 Bulan, 24 Hari</v>
      </c>
      <c r="V154" s="86" t="s">
        <v>836</v>
      </c>
      <c r="W154" s="88">
        <v>334.8</v>
      </c>
      <c r="X154" s="92">
        <v>45170</v>
      </c>
      <c r="Y154" s="21" t="s">
        <v>880</v>
      </c>
      <c r="Z154" s="21">
        <v>44957</v>
      </c>
      <c r="AA154" s="18"/>
    </row>
    <row r="155" spans="1:27" x14ac:dyDescent="0.35">
      <c r="A155" s="18">
        <v>7</v>
      </c>
      <c r="B155" s="78" t="s">
        <v>550</v>
      </c>
      <c r="C155" s="34" t="s">
        <v>681</v>
      </c>
      <c r="D155" s="12" t="s">
        <v>33</v>
      </c>
      <c r="E155" s="18"/>
      <c r="F155" s="12" t="s">
        <v>35</v>
      </c>
      <c r="G155" s="21">
        <v>27583</v>
      </c>
      <c r="H155" s="21">
        <v>37226</v>
      </c>
      <c r="I155" s="76">
        <f t="shared" ca="1" si="20"/>
        <v>22</v>
      </c>
      <c r="J155" s="18">
        <f t="shared" ca="1" si="21"/>
        <v>10</v>
      </c>
      <c r="K155" s="50" t="s">
        <v>1133</v>
      </c>
      <c r="L155" s="50"/>
      <c r="M155" s="50" t="s">
        <v>178</v>
      </c>
      <c r="N155" s="83">
        <v>43556</v>
      </c>
      <c r="O155" s="18">
        <v>15</v>
      </c>
      <c r="P155" s="12">
        <v>4</v>
      </c>
      <c r="Q155" s="18" t="s">
        <v>816</v>
      </c>
      <c r="S155" s="18" t="s">
        <v>220</v>
      </c>
      <c r="T155" s="12" t="s">
        <v>40</v>
      </c>
      <c r="U155" s="18" t="str">
        <f t="shared" ca="1" si="22"/>
        <v>49 Tahun, 3 Bulan, 0 Hari</v>
      </c>
      <c r="V155" s="86" t="s">
        <v>836</v>
      </c>
      <c r="W155" s="88">
        <v>255.5</v>
      </c>
      <c r="X155" s="92">
        <v>45170</v>
      </c>
      <c r="Y155" s="21" t="s">
        <v>879</v>
      </c>
      <c r="Z155" s="21">
        <v>45239</v>
      </c>
      <c r="AA155" s="18"/>
    </row>
    <row r="156" spans="1:27" x14ac:dyDescent="0.35">
      <c r="A156" s="18">
        <v>8</v>
      </c>
      <c r="B156" s="78" t="s">
        <v>551</v>
      </c>
      <c r="C156" s="34" t="s">
        <v>682</v>
      </c>
      <c r="D156" s="12" t="s">
        <v>33</v>
      </c>
      <c r="E156" s="18"/>
      <c r="F156" s="12" t="s">
        <v>738</v>
      </c>
      <c r="G156" s="21">
        <v>28665</v>
      </c>
      <c r="H156" s="21">
        <v>38353</v>
      </c>
      <c r="I156" s="76">
        <f t="shared" ca="1" si="20"/>
        <v>19</v>
      </c>
      <c r="J156" s="18">
        <f t="shared" ca="1" si="21"/>
        <v>9</v>
      </c>
      <c r="K156" s="50" t="s">
        <v>1133</v>
      </c>
      <c r="L156" s="50"/>
      <c r="M156" s="50" t="s">
        <v>180</v>
      </c>
      <c r="N156" s="83">
        <v>39722</v>
      </c>
      <c r="O156" s="18">
        <v>10</v>
      </c>
      <c r="P156" s="12">
        <v>4</v>
      </c>
      <c r="Q156" s="18" t="s">
        <v>817</v>
      </c>
      <c r="S156" s="18" t="s">
        <v>220</v>
      </c>
      <c r="T156" s="12" t="s">
        <v>40</v>
      </c>
      <c r="U156" s="18" t="str">
        <f t="shared" ca="1" si="22"/>
        <v>46 Tahun, 3 Bulan, 14 Hari</v>
      </c>
      <c r="V156" s="86" t="s">
        <v>836</v>
      </c>
      <c r="W156" s="88">
        <v>200</v>
      </c>
      <c r="X156" s="92">
        <v>39722</v>
      </c>
      <c r="Y156" s="21"/>
      <c r="Z156" s="21">
        <v>45239</v>
      </c>
      <c r="AA156" s="18"/>
    </row>
    <row r="157" spans="1:27" x14ac:dyDescent="0.35">
      <c r="A157" s="18">
        <v>9</v>
      </c>
      <c r="B157" s="78" t="s">
        <v>552</v>
      </c>
      <c r="C157" s="34" t="s">
        <v>1154</v>
      </c>
      <c r="D157" s="12" t="s">
        <v>33</v>
      </c>
      <c r="E157" s="18"/>
      <c r="F157" s="12" t="s">
        <v>35</v>
      </c>
      <c r="G157" s="21">
        <v>30689</v>
      </c>
      <c r="H157" s="21">
        <v>43525</v>
      </c>
      <c r="I157" s="76">
        <f t="shared" ca="1" si="20"/>
        <v>5</v>
      </c>
      <c r="J157" s="18">
        <f t="shared" ca="1" si="21"/>
        <v>7</v>
      </c>
      <c r="K157" s="50" t="s">
        <v>1133</v>
      </c>
      <c r="L157" s="50"/>
      <c r="M157" s="50" t="s">
        <v>180</v>
      </c>
      <c r="N157" s="83">
        <v>44197</v>
      </c>
      <c r="O157" s="18">
        <v>1</v>
      </c>
      <c r="P157" s="12">
        <v>10</v>
      </c>
      <c r="Q157" s="18"/>
      <c r="S157" s="18" t="s">
        <v>220</v>
      </c>
      <c r="T157" s="12" t="s">
        <v>40</v>
      </c>
      <c r="U157" s="18" t="str">
        <f t="shared" ca="1" si="22"/>
        <v>40 Tahun, 9 Bulan, 0 Hari</v>
      </c>
      <c r="V157" s="86" t="s">
        <v>836</v>
      </c>
      <c r="W157" s="88">
        <v>336.55</v>
      </c>
      <c r="X157" s="92">
        <v>45170</v>
      </c>
      <c r="Y157" s="21" t="s">
        <v>881</v>
      </c>
      <c r="Z157" s="21">
        <v>44951</v>
      </c>
      <c r="AA157" s="18"/>
    </row>
    <row r="158" spans="1:27" x14ac:dyDescent="0.35">
      <c r="A158" s="18">
        <v>10</v>
      </c>
      <c r="B158" s="78" t="s">
        <v>553</v>
      </c>
      <c r="C158" s="34" t="s">
        <v>683</v>
      </c>
      <c r="D158" s="12" t="s">
        <v>33</v>
      </c>
      <c r="E158" s="18"/>
      <c r="F158" s="12" t="s">
        <v>739</v>
      </c>
      <c r="G158" s="21">
        <v>33959</v>
      </c>
      <c r="H158" s="21">
        <v>43525</v>
      </c>
      <c r="I158" s="76">
        <f t="shared" ca="1" si="20"/>
        <v>5</v>
      </c>
      <c r="J158" s="18">
        <f t="shared" ca="1" si="21"/>
        <v>7</v>
      </c>
      <c r="K158" s="50" t="s">
        <v>1133</v>
      </c>
      <c r="L158" s="50"/>
      <c r="M158" s="50" t="s">
        <v>180</v>
      </c>
      <c r="N158" s="83">
        <v>44197</v>
      </c>
      <c r="O158" s="18">
        <v>1</v>
      </c>
      <c r="P158" s="12">
        <v>10</v>
      </c>
      <c r="Q158" s="18"/>
      <c r="S158" s="18" t="s">
        <v>39</v>
      </c>
      <c r="T158" s="12" t="s">
        <v>40</v>
      </c>
      <c r="U158" s="18" t="str">
        <f t="shared" ca="1" si="22"/>
        <v>31 Tahun, 9 Bulan, 17 Hari</v>
      </c>
      <c r="V158" s="86" t="s">
        <v>836</v>
      </c>
      <c r="W158" s="88">
        <v>336.55</v>
      </c>
      <c r="X158" s="92">
        <v>45170</v>
      </c>
      <c r="Y158" s="21"/>
      <c r="Z158" s="18"/>
      <c r="AA158" s="18"/>
    </row>
    <row r="159" spans="1:27" x14ac:dyDescent="0.35">
      <c r="A159" s="18">
        <v>11</v>
      </c>
      <c r="B159" s="78" t="s">
        <v>1205</v>
      </c>
      <c r="C159" s="34" t="s">
        <v>684</v>
      </c>
      <c r="D159" s="12" t="s">
        <v>33</v>
      </c>
      <c r="E159" s="18"/>
      <c r="F159" s="12" t="s">
        <v>740</v>
      </c>
      <c r="G159" s="21">
        <v>32992</v>
      </c>
      <c r="H159" s="21">
        <v>44621</v>
      </c>
      <c r="I159" s="76">
        <f t="shared" ca="1" si="20"/>
        <v>2</v>
      </c>
      <c r="J159" s="18">
        <f t="shared" ca="1" si="21"/>
        <v>7</v>
      </c>
      <c r="K159" s="50" t="s">
        <v>1133</v>
      </c>
      <c r="L159" s="50"/>
      <c r="M159" s="50" t="s">
        <v>180</v>
      </c>
      <c r="N159" s="83">
        <v>44621</v>
      </c>
      <c r="O159" s="18"/>
      <c r="Q159" s="18"/>
      <c r="S159" s="18" t="s">
        <v>39</v>
      </c>
      <c r="T159" s="12" t="s">
        <v>40</v>
      </c>
      <c r="U159" s="18" t="str">
        <f t="shared" ca="1" si="22"/>
        <v>34 Tahun, 5 Bulan, 9 Hari</v>
      </c>
      <c r="V159" s="86" t="s">
        <v>837</v>
      </c>
      <c r="W159" s="88"/>
      <c r="X159" s="92"/>
      <c r="Y159" s="21"/>
      <c r="Z159" s="18"/>
      <c r="AA159" s="18" t="s">
        <v>853</v>
      </c>
    </row>
    <row r="160" spans="1:27" x14ac:dyDescent="0.35">
      <c r="A160" s="18">
        <v>12</v>
      </c>
      <c r="B160" s="78" t="s">
        <v>555</v>
      </c>
      <c r="C160" s="34" t="s">
        <v>685</v>
      </c>
      <c r="D160" s="12" t="s">
        <v>33</v>
      </c>
      <c r="E160" s="18"/>
      <c r="F160" s="12" t="s">
        <v>35</v>
      </c>
      <c r="G160" s="21">
        <v>33970</v>
      </c>
      <c r="H160" s="21">
        <v>44621</v>
      </c>
      <c r="I160" s="76">
        <f t="shared" ca="1" si="20"/>
        <v>2</v>
      </c>
      <c r="J160" s="18">
        <f t="shared" ca="1" si="21"/>
        <v>7</v>
      </c>
      <c r="K160" s="50" t="s">
        <v>1133</v>
      </c>
      <c r="L160" s="50"/>
      <c r="M160" s="50" t="s">
        <v>180</v>
      </c>
      <c r="N160" s="83">
        <v>44621</v>
      </c>
      <c r="O160" s="18"/>
      <c r="Q160" s="18"/>
      <c r="S160" s="18" t="s">
        <v>39</v>
      </c>
      <c r="T160" s="12" t="s">
        <v>40</v>
      </c>
      <c r="U160" s="18" t="str">
        <f t="shared" ca="1" si="22"/>
        <v>31 Tahun, 9 Bulan, 7 Hari</v>
      </c>
      <c r="V160" s="86" t="s">
        <v>837</v>
      </c>
      <c r="W160" s="88"/>
      <c r="X160" s="92"/>
      <c r="Y160" s="21"/>
      <c r="Z160" s="18"/>
      <c r="AA160" s="18" t="s">
        <v>853</v>
      </c>
    </row>
    <row r="161" spans="1:27" x14ac:dyDescent="0.35">
      <c r="A161" s="18">
        <v>13</v>
      </c>
      <c r="B161" s="78" t="s">
        <v>556</v>
      </c>
      <c r="C161" s="34" t="s">
        <v>686</v>
      </c>
      <c r="D161" s="12" t="s">
        <v>33</v>
      </c>
      <c r="E161" s="18"/>
      <c r="F161" s="12" t="s">
        <v>152</v>
      </c>
      <c r="G161" s="21">
        <v>33563</v>
      </c>
      <c r="H161" s="21">
        <v>44621</v>
      </c>
      <c r="I161" s="76">
        <f ca="1">DATEDIF(H161,$A$5,"Y")</f>
        <v>2</v>
      </c>
      <c r="J161" s="18">
        <f t="shared" ca="1" si="21"/>
        <v>7</v>
      </c>
      <c r="K161" s="50" t="s">
        <v>1133</v>
      </c>
      <c r="L161" s="50"/>
      <c r="M161" s="50" t="s">
        <v>180</v>
      </c>
      <c r="N161" s="83">
        <v>44621</v>
      </c>
      <c r="O161" s="18"/>
      <c r="Q161" s="18"/>
      <c r="S161" s="18" t="s">
        <v>220</v>
      </c>
      <c r="T161" s="12" t="s">
        <v>40</v>
      </c>
      <c r="U161" s="18" t="str">
        <f t="shared" ca="1" si="22"/>
        <v>32 Tahun, 10 Bulan, 17 Hari</v>
      </c>
      <c r="V161" s="86" t="s">
        <v>837</v>
      </c>
      <c r="W161" s="88"/>
      <c r="X161" s="92"/>
      <c r="Y161" s="21"/>
      <c r="Z161" s="18"/>
      <c r="AA161" s="18" t="s">
        <v>853</v>
      </c>
    </row>
    <row r="162" spans="1:27" x14ac:dyDescent="0.35">
      <c r="A162" s="18">
        <v>14</v>
      </c>
      <c r="B162" s="78" t="s">
        <v>557</v>
      </c>
      <c r="C162" s="34" t="s">
        <v>687</v>
      </c>
      <c r="D162" s="12" t="s">
        <v>33</v>
      </c>
      <c r="E162" s="18"/>
      <c r="F162" s="12" t="s">
        <v>35</v>
      </c>
      <c r="G162" s="21">
        <v>30272</v>
      </c>
      <c r="H162" s="21"/>
      <c r="I162" s="18"/>
      <c r="J162" s="18"/>
      <c r="K162" s="50" t="s">
        <v>1133</v>
      </c>
      <c r="L162" s="50"/>
      <c r="M162" s="50" t="s">
        <v>761</v>
      </c>
      <c r="N162" s="83">
        <v>45139</v>
      </c>
      <c r="O162" s="18"/>
      <c r="Q162" s="18"/>
      <c r="S162" s="18" t="s">
        <v>39</v>
      </c>
      <c r="T162" s="12" t="s">
        <v>40</v>
      </c>
      <c r="U162" s="18" t="str">
        <f ca="1">DATEDIF(G162,$A$5,"Y") &amp;" Tahun, "&amp;DATEDIF(G162,$A$5,"YM") &amp;" Bulan, "&amp;DATEDIF(G162,$A$5,"MD") &amp;" Hari"</f>
        <v>41 Tahun, 10 Bulan, 21 Hari</v>
      </c>
      <c r="V162" s="86" t="s">
        <v>837</v>
      </c>
      <c r="W162" s="88"/>
      <c r="X162" s="92"/>
      <c r="Y162" s="21"/>
      <c r="Z162" s="18"/>
      <c r="AA162" s="18" t="s">
        <v>864</v>
      </c>
    </row>
    <row r="166" spans="1:27" x14ac:dyDescent="0.35">
      <c r="A166" s="46" t="str">
        <f>A130</f>
        <v>JURUSAN : PERTANIAN</v>
      </c>
      <c r="B166" s="36"/>
      <c r="C166" s="36"/>
      <c r="D166" s="36"/>
    </row>
    <row r="167" spans="1:27" x14ac:dyDescent="0.35">
      <c r="A167" s="36" t="s">
        <v>558</v>
      </c>
    </row>
    <row r="168" spans="1:27" s="13" customFormat="1" ht="17" customHeight="1" x14ac:dyDescent="0.35">
      <c r="A168" s="238" t="s">
        <v>13</v>
      </c>
      <c r="B168" s="277" t="s">
        <v>14</v>
      </c>
      <c r="C168" s="278" t="s">
        <v>19</v>
      </c>
      <c r="D168" s="280" t="s">
        <v>15</v>
      </c>
      <c r="E168" s="238" t="s">
        <v>18</v>
      </c>
      <c r="F168" s="282" t="s">
        <v>16</v>
      </c>
      <c r="G168" s="238" t="s">
        <v>17</v>
      </c>
      <c r="H168" s="283" t="s">
        <v>36</v>
      </c>
      <c r="I168" s="284" t="s">
        <v>30</v>
      </c>
      <c r="J168" s="285"/>
      <c r="K168" s="226" t="s">
        <v>1215</v>
      </c>
      <c r="L168" s="295" t="s">
        <v>268</v>
      </c>
      <c r="M168" s="238" t="s">
        <v>20</v>
      </c>
      <c r="N168" s="303" t="s">
        <v>21</v>
      </c>
      <c r="O168" s="297" t="s">
        <v>29</v>
      </c>
      <c r="P168" s="298"/>
      <c r="Q168" s="238" t="s">
        <v>22</v>
      </c>
      <c r="R168" s="282" t="s">
        <v>23</v>
      </c>
      <c r="S168" s="64" t="s">
        <v>31</v>
      </c>
      <c r="T168" s="288" t="s">
        <v>25</v>
      </c>
      <c r="U168" s="238" t="s">
        <v>26</v>
      </c>
      <c r="V168" s="301" t="s">
        <v>258</v>
      </c>
      <c r="W168" s="299" t="s">
        <v>838</v>
      </c>
      <c r="X168" s="301" t="s">
        <v>839</v>
      </c>
      <c r="Y168" s="301" t="s">
        <v>840</v>
      </c>
      <c r="Z168" s="303" t="s">
        <v>841</v>
      </c>
      <c r="AA168" s="303" t="s">
        <v>852</v>
      </c>
    </row>
    <row r="169" spans="1:27" s="13" customFormat="1" x14ac:dyDescent="0.35">
      <c r="A169" s="238"/>
      <c r="B169" s="277"/>
      <c r="C169" s="279"/>
      <c r="D169" s="281"/>
      <c r="E169" s="238"/>
      <c r="F169" s="282"/>
      <c r="G169" s="238"/>
      <c r="H169" s="283"/>
      <c r="I169" s="64" t="s">
        <v>3</v>
      </c>
      <c r="J169" s="65" t="s">
        <v>4</v>
      </c>
      <c r="K169" s="227"/>
      <c r="L169" s="296"/>
      <c r="M169" s="238"/>
      <c r="N169" s="288"/>
      <c r="O169" s="64" t="s">
        <v>3</v>
      </c>
      <c r="P169" s="66" t="s">
        <v>4</v>
      </c>
      <c r="Q169" s="238"/>
      <c r="R169" s="282"/>
      <c r="S169" s="64" t="s">
        <v>24</v>
      </c>
      <c r="T169" s="288"/>
      <c r="U169" s="238"/>
      <c r="V169" s="302"/>
      <c r="W169" s="300"/>
      <c r="X169" s="302"/>
      <c r="Y169" s="302"/>
      <c r="Z169" s="303"/>
      <c r="AA169" s="303"/>
    </row>
    <row r="170" spans="1:27" s="61" customFormat="1" ht="13.5" thickBot="1" x14ac:dyDescent="0.4">
      <c r="A170" s="41">
        <v>1</v>
      </c>
      <c r="B170" s="42">
        <v>2</v>
      </c>
      <c r="C170" s="43">
        <v>3</v>
      </c>
      <c r="D170" s="44">
        <v>4</v>
      </c>
      <c r="E170" s="41">
        <v>5</v>
      </c>
      <c r="F170" s="44">
        <v>6</v>
      </c>
      <c r="G170" s="41">
        <v>7</v>
      </c>
      <c r="H170" s="45">
        <v>8</v>
      </c>
      <c r="I170" s="41">
        <v>9</v>
      </c>
      <c r="J170" s="41">
        <v>10</v>
      </c>
      <c r="K170" s="41"/>
      <c r="L170" s="41">
        <v>11</v>
      </c>
      <c r="M170" s="42">
        <v>12</v>
      </c>
      <c r="N170" s="84">
        <v>13</v>
      </c>
      <c r="O170" s="42">
        <v>14</v>
      </c>
      <c r="P170" s="41">
        <v>15</v>
      </c>
      <c r="Q170" s="42">
        <v>16</v>
      </c>
      <c r="R170" s="41">
        <v>17</v>
      </c>
      <c r="S170" s="42">
        <v>18</v>
      </c>
      <c r="T170" s="41">
        <v>19</v>
      </c>
      <c r="U170" s="42">
        <v>20</v>
      </c>
      <c r="V170" s="84">
        <v>21</v>
      </c>
      <c r="W170" s="90">
        <v>22</v>
      </c>
      <c r="X170" s="84">
        <v>23</v>
      </c>
      <c r="Y170" s="45">
        <v>24</v>
      </c>
      <c r="Z170" s="41">
        <v>25</v>
      </c>
      <c r="AA170" s="41">
        <v>26</v>
      </c>
    </row>
    <row r="171" spans="1:27" ht="16" thickTop="1" x14ac:dyDescent="0.35">
      <c r="A171" s="18">
        <v>1</v>
      </c>
      <c r="B171" s="77" t="s">
        <v>535</v>
      </c>
      <c r="C171" s="34" t="s">
        <v>688</v>
      </c>
      <c r="D171" s="12" t="s">
        <v>33</v>
      </c>
      <c r="E171" s="18"/>
      <c r="F171" s="12" t="s">
        <v>741</v>
      </c>
      <c r="G171" s="21">
        <v>25888</v>
      </c>
      <c r="H171" s="16">
        <v>36586</v>
      </c>
      <c r="I171" s="76">
        <f ca="1">DATEDIF(H171,$A$5,"Y")</f>
        <v>24</v>
      </c>
      <c r="J171" s="18">
        <f ca="1">DATEDIF(H171,$A$5,"YM")</f>
        <v>7</v>
      </c>
      <c r="K171" s="50" t="s">
        <v>1133</v>
      </c>
      <c r="L171" s="49"/>
      <c r="M171" s="18" t="s">
        <v>177</v>
      </c>
      <c r="N171" s="83">
        <v>40634</v>
      </c>
      <c r="O171" s="18">
        <v>15</v>
      </c>
      <c r="P171" s="12">
        <v>1</v>
      </c>
      <c r="Q171" s="18" t="s">
        <v>807</v>
      </c>
      <c r="S171" s="18" t="s">
        <v>220</v>
      </c>
      <c r="T171" s="12" t="s">
        <v>219</v>
      </c>
      <c r="U171" s="18" t="str">
        <f ca="1">DATEDIF(G171,$A$5,"Y") &amp;" Tahun, "&amp;DATEDIF(G171,$A$5,"YM") &amp;" Bulan, "&amp;DATEDIF(G171,$A$5,"MD") &amp;" Hari"</f>
        <v>53 Tahun, 10 Bulan, 22 Hari</v>
      </c>
      <c r="V171" s="86" t="s">
        <v>835</v>
      </c>
      <c r="W171" s="88">
        <v>406</v>
      </c>
      <c r="X171" s="92">
        <v>39783</v>
      </c>
      <c r="Y171" s="21" t="s">
        <v>882</v>
      </c>
      <c r="Z171" s="21">
        <v>44957</v>
      </c>
      <c r="AA171" s="18"/>
    </row>
    <row r="172" spans="1:27" x14ac:dyDescent="0.35">
      <c r="A172" s="18">
        <v>2</v>
      </c>
      <c r="B172" s="78" t="s">
        <v>539</v>
      </c>
      <c r="C172" s="34" t="s">
        <v>689</v>
      </c>
      <c r="D172" s="12" t="s">
        <v>33</v>
      </c>
      <c r="E172" s="18"/>
      <c r="F172" s="12" t="s">
        <v>742</v>
      </c>
      <c r="G172" s="21">
        <v>29920</v>
      </c>
      <c r="H172" s="16">
        <v>39783</v>
      </c>
      <c r="I172" s="76">
        <f ca="1">DATEDIF(H172,$A$5,"Y")</f>
        <v>15</v>
      </c>
      <c r="J172" s="18">
        <f ca="1">DATEDIF(H172,$A$5,"YM")</f>
        <v>10</v>
      </c>
      <c r="K172" s="50" t="s">
        <v>1133</v>
      </c>
      <c r="L172" s="50"/>
      <c r="M172" s="50" t="s">
        <v>178</v>
      </c>
      <c r="N172" s="83">
        <v>42826</v>
      </c>
      <c r="O172" s="18">
        <v>8</v>
      </c>
      <c r="P172" s="12">
        <v>4</v>
      </c>
      <c r="Q172" s="18" t="s">
        <v>818</v>
      </c>
      <c r="S172" s="18" t="s">
        <v>220</v>
      </c>
      <c r="T172" s="12" t="s">
        <v>40</v>
      </c>
      <c r="U172" s="18" t="str">
        <f ca="1">DATEDIF(G172,$A$5,"Y") &amp;" Tahun, "&amp;DATEDIF(G172,$A$5,"YM") &amp;" Bulan, "&amp;DATEDIF(G172,$A$5,"MD") &amp;" Hari"</f>
        <v>42 Tahun, 10 Bulan, 8 Hari</v>
      </c>
      <c r="V172" s="86" t="s">
        <v>836</v>
      </c>
      <c r="W172" s="88">
        <v>365</v>
      </c>
      <c r="X172" s="92">
        <v>41640</v>
      </c>
      <c r="Y172" s="21"/>
      <c r="Z172" s="18"/>
      <c r="AA172" s="18"/>
    </row>
    <row r="173" spans="1:27" x14ac:dyDescent="0.35">
      <c r="A173" s="18">
        <v>3</v>
      </c>
      <c r="B173" s="78" t="s">
        <v>541</v>
      </c>
      <c r="C173" s="34" t="s">
        <v>690</v>
      </c>
      <c r="D173" s="12" t="s">
        <v>33</v>
      </c>
      <c r="E173" s="18"/>
      <c r="F173" s="12" t="s">
        <v>743</v>
      </c>
      <c r="G173" s="21">
        <v>32520</v>
      </c>
      <c r="H173" s="16">
        <v>44166</v>
      </c>
      <c r="I173" s="76">
        <f ca="1">DATEDIF(H173,$A$5,"Y")</f>
        <v>3</v>
      </c>
      <c r="J173" s="18">
        <f ca="1">DATEDIF(H173,$A$5,"YM")</f>
        <v>10</v>
      </c>
      <c r="K173" s="50" t="s">
        <v>1133</v>
      </c>
      <c r="L173" s="50"/>
      <c r="M173" s="50" t="s">
        <v>180</v>
      </c>
      <c r="N173" s="83">
        <v>44562</v>
      </c>
      <c r="O173" s="18">
        <v>1</v>
      </c>
      <c r="P173" s="12">
        <v>1</v>
      </c>
      <c r="Q173" s="18"/>
      <c r="S173" s="18" t="s">
        <v>39</v>
      </c>
      <c r="T173" s="12" t="s">
        <v>40</v>
      </c>
      <c r="U173" s="18" t="str">
        <f ca="1">DATEDIF(G173,$A$5,"Y") &amp;" Tahun, "&amp;DATEDIF(G173,$A$5,"YM") &amp;" Bulan, "&amp;DATEDIF(G173,$A$5,"MD") &amp;" Hari"</f>
        <v>35 Tahun, 8 Bulan, 26 Hari</v>
      </c>
      <c r="V173" s="86" t="s">
        <v>837</v>
      </c>
      <c r="W173" s="88"/>
      <c r="X173" s="92"/>
      <c r="Y173" s="21" t="s">
        <v>884</v>
      </c>
      <c r="Z173" s="18"/>
      <c r="AA173" s="18"/>
    </row>
    <row r="174" spans="1:27" x14ac:dyDescent="0.35">
      <c r="A174" s="18">
        <v>4</v>
      </c>
      <c r="B174" s="78" t="s">
        <v>534</v>
      </c>
      <c r="C174" s="34" t="s">
        <v>670</v>
      </c>
      <c r="D174" s="12" t="s">
        <v>33</v>
      </c>
      <c r="E174" s="18"/>
      <c r="F174" s="12" t="s">
        <v>35</v>
      </c>
      <c r="G174" s="21">
        <v>27038</v>
      </c>
      <c r="H174" s="16">
        <v>36861</v>
      </c>
      <c r="I174" s="76">
        <f ca="1">DATEDIF(H174,$A$5,"Y")</f>
        <v>23</v>
      </c>
      <c r="J174" s="18">
        <f ca="1">DATEDIF(H174,$A$5,"YM")</f>
        <v>10</v>
      </c>
      <c r="K174" s="50" t="s">
        <v>1133</v>
      </c>
      <c r="L174" s="50"/>
      <c r="M174" s="50" t="s">
        <v>177</v>
      </c>
      <c r="N174" s="83">
        <v>40634</v>
      </c>
      <c r="O174" s="18">
        <v>10</v>
      </c>
      <c r="P174" s="12">
        <v>10</v>
      </c>
      <c r="Q174" s="18" t="s">
        <v>806</v>
      </c>
      <c r="S174" s="18" t="s">
        <v>220</v>
      </c>
      <c r="T174" s="12" t="s">
        <v>40</v>
      </c>
      <c r="U174" s="18" t="str">
        <f ca="1">DATEDIF(G174,$A$5,"Y") &amp;" Tahun, "&amp;DATEDIF(G174,$A$5,"YM") &amp;" Bulan, "&amp;DATEDIF(G174,$A$5,"MD") &amp;" Hari"</f>
        <v>50 Tahun, 8 Bulan, 29 Hari</v>
      </c>
      <c r="V174" s="86" t="s">
        <v>835</v>
      </c>
      <c r="W174" s="88">
        <v>417</v>
      </c>
      <c r="X174" s="92">
        <v>39173</v>
      </c>
      <c r="Y174" s="21" t="s">
        <v>883</v>
      </c>
      <c r="Z174" s="21">
        <v>44957</v>
      </c>
      <c r="AA174" s="18"/>
    </row>
    <row r="175" spans="1:27" x14ac:dyDescent="0.35">
      <c r="A175" s="18">
        <v>5</v>
      </c>
      <c r="B175" s="78" t="s">
        <v>501</v>
      </c>
      <c r="C175" s="34" t="s">
        <v>691</v>
      </c>
      <c r="D175" s="12" t="s">
        <v>33</v>
      </c>
      <c r="E175" s="18"/>
      <c r="F175" s="12" t="s">
        <v>735</v>
      </c>
      <c r="G175" s="21">
        <v>28776</v>
      </c>
      <c r="H175" s="16">
        <v>40148</v>
      </c>
      <c r="I175" s="76">
        <f ca="1">DATEDIF(H175,$A$5,"Y")</f>
        <v>14</v>
      </c>
      <c r="J175" s="18">
        <f ca="1">DATEDIF(H175,$A$5,"YM")</f>
        <v>10</v>
      </c>
      <c r="K175" s="50" t="s">
        <v>1133</v>
      </c>
      <c r="L175" s="50"/>
      <c r="M175" s="50" t="s">
        <v>178</v>
      </c>
      <c r="N175" s="83">
        <v>45017</v>
      </c>
      <c r="O175" s="18">
        <v>13</v>
      </c>
      <c r="P175" s="12">
        <v>4</v>
      </c>
      <c r="Q175" s="18" t="s">
        <v>762</v>
      </c>
      <c r="S175" s="18" t="s">
        <v>220</v>
      </c>
      <c r="T175" s="12" t="s">
        <v>40</v>
      </c>
      <c r="U175" s="18" t="str">
        <f ca="1">DATEDIF(G175,$A$5,"Y") &amp;" Tahun, "&amp;DATEDIF(G175,$A$5,"YM") &amp;" Bulan, "&amp;DATEDIF(G175,$A$5,"MD") &amp;" Hari"</f>
        <v>45 Tahun, 11 Bulan, 25 Hari</v>
      </c>
      <c r="V175" s="86" t="s">
        <v>836</v>
      </c>
      <c r="W175" s="88">
        <v>315.75</v>
      </c>
      <c r="X175" s="92">
        <v>43466</v>
      </c>
      <c r="Y175" s="21"/>
      <c r="Z175" s="18"/>
      <c r="AA175" s="18"/>
    </row>
    <row r="179" spans="1:27" x14ac:dyDescent="0.35">
      <c r="A179" s="46" t="s">
        <v>1147</v>
      </c>
      <c r="B179" s="36"/>
      <c r="C179" s="36"/>
      <c r="D179" s="36"/>
    </row>
    <row r="180" spans="1:27" x14ac:dyDescent="0.35">
      <c r="A180" s="36" t="s">
        <v>449</v>
      </c>
    </row>
    <row r="181" spans="1:27" s="13" customFormat="1" ht="17" customHeight="1" x14ac:dyDescent="0.35">
      <c r="A181" s="234" t="s">
        <v>13</v>
      </c>
      <c r="B181" s="272" t="s">
        <v>14</v>
      </c>
      <c r="C181" s="273" t="s">
        <v>19</v>
      </c>
      <c r="D181" s="275" t="s">
        <v>15</v>
      </c>
      <c r="E181" s="234" t="s">
        <v>18</v>
      </c>
      <c r="F181" s="235" t="s">
        <v>16</v>
      </c>
      <c r="G181" s="234" t="s">
        <v>17</v>
      </c>
      <c r="H181" s="265" t="s">
        <v>36</v>
      </c>
      <c r="I181" s="266" t="s">
        <v>30</v>
      </c>
      <c r="J181" s="267"/>
      <c r="K181" s="228" t="s">
        <v>1215</v>
      </c>
      <c r="L181" s="268" t="s">
        <v>268</v>
      </c>
      <c r="M181" s="234" t="s">
        <v>20</v>
      </c>
      <c r="N181" s="309" t="s">
        <v>21</v>
      </c>
      <c r="O181" s="270" t="s">
        <v>29</v>
      </c>
      <c r="P181" s="271"/>
      <c r="Q181" s="234" t="s">
        <v>22</v>
      </c>
      <c r="R181" s="235" t="s">
        <v>23</v>
      </c>
      <c r="S181" s="67" t="s">
        <v>31</v>
      </c>
      <c r="T181" s="260" t="s">
        <v>25</v>
      </c>
      <c r="U181" s="234" t="s">
        <v>26</v>
      </c>
      <c r="V181" s="306" t="s">
        <v>258</v>
      </c>
      <c r="W181" s="306" t="s">
        <v>838</v>
      </c>
      <c r="X181" s="306" t="s">
        <v>839</v>
      </c>
      <c r="Y181" s="306" t="s">
        <v>840</v>
      </c>
      <c r="Z181" s="308" t="s">
        <v>842</v>
      </c>
      <c r="AA181" s="308" t="s">
        <v>852</v>
      </c>
    </row>
    <row r="182" spans="1:27" s="13" customFormat="1" x14ac:dyDescent="0.35">
      <c r="A182" s="234"/>
      <c r="B182" s="272"/>
      <c r="C182" s="274"/>
      <c r="D182" s="276"/>
      <c r="E182" s="234"/>
      <c r="F182" s="235"/>
      <c r="G182" s="234"/>
      <c r="H182" s="265"/>
      <c r="I182" s="67" t="s">
        <v>3</v>
      </c>
      <c r="J182" s="68" t="s">
        <v>4</v>
      </c>
      <c r="K182" s="229"/>
      <c r="L182" s="269"/>
      <c r="M182" s="234"/>
      <c r="N182" s="260"/>
      <c r="O182" s="67" t="s">
        <v>3</v>
      </c>
      <c r="P182" s="69" t="s">
        <v>4</v>
      </c>
      <c r="Q182" s="234"/>
      <c r="R182" s="235"/>
      <c r="S182" s="67" t="s">
        <v>24</v>
      </c>
      <c r="T182" s="260"/>
      <c r="U182" s="234"/>
      <c r="V182" s="307"/>
      <c r="W182" s="307"/>
      <c r="X182" s="307"/>
      <c r="Y182" s="307"/>
      <c r="Z182" s="308"/>
      <c r="AA182" s="308"/>
    </row>
    <row r="183" spans="1:27" s="61" customFormat="1" ht="13.5" thickBot="1" x14ac:dyDescent="0.4">
      <c r="A183" s="70">
        <v>1</v>
      </c>
      <c r="B183" s="71">
        <v>2</v>
      </c>
      <c r="C183" s="72">
        <v>3</v>
      </c>
      <c r="D183" s="73">
        <v>4</v>
      </c>
      <c r="E183" s="70">
        <v>5</v>
      </c>
      <c r="F183" s="73">
        <v>6</v>
      </c>
      <c r="G183" s="70">
        <v>7</v>
      </c>
      <c r="H183" s="74">
        <v>8</v>
      </c>
      <c r="I183" s="70">
        <v>9</v>
      </c>
      <c r="J183" s="70">
        <v>10</v>
      </c>
      <c r="K183" s="70"/>
      <c r="L183" s="70">
        <v>11</v>
      </c>
      <c r="M183" s="71">
        <v>12</v>
      </c>
      <c r="N183" s="85">
        <v>13</v>
      </c>
      <c r="O183" s="71">
        <v>14</v>
      </c>
      <c r="P183" s="70">
        <v>15</v>
      </c>
      <c r="Q183" s="71">
        <v>16</v>
      </c>
      <c r="R183" s="70">
        <v>17</v>
      </c>
      <c r="S183" s="71">
        <v>18</v>
      </c>
      <c r="T183" s="70">
        <v>19</v>
      </c>
      <c r="U183" s="71">
        <v>20</v>
      </c>
      <c r="V183" s="85">
        <v>21</v>
      </c>
      <c r="W183" s="91">
        <v>22</v>
      </c>
      <c r="X183" s="85">
        <v>23</v>
      </c>
      <c r="Y183" s="74">
        <v>24</v>
      </c>
      <c r="Z183" s="70">
        <v>25</v>
      </c>
      <c r="AA183" s="70">
        <v>26</v>
      </c>
    </row>
    <row r="184" spans="1:27" ht="16" thickTop="1" x14ac:dyDescent="0.35">
      <c r="A184" s="18">
        <v>1</v>
      </c>
      <c r="B184" s="77" t="s">
        <v>559</v>
      </c>
      <c r="C184" s="34" t="s">
        <v>692</v>
      </c>
      <c r="D184" s="12" t="s">
        <v>629</v>
      </c>
      <c r="E184" s="18"/>
      <c r="F184" s="12" t="s">
        <v>744</v>
      </c>
      <c r="G184" s="21">
        <v>22875</v>
      </c>
      <c r="H184" s="16">
        <v>32568</v>
      </c>
      <c r="I184" s="18">
        <f t="shared" ref="I184:I190" ca="1" si="23">DATEDIF(H184,$A$5,"Y")</f>
        <v>35</v>
      </c>
      <c r="J184" s="18">
        <f t="shared" ref="J184:J190" ca="1" si="24">DATEDIF(H184,$A$5,"YM")</f>
        <v>7</v>
      </c>
      <c r="K184" s="50" t="s">
        <v>1133</v>
      </c>
      <c r="L184" s="49"/>
      <c r="M184" s="18" t="s">
        <v>760</v>
      </c>
      <c r="N184" s="83">
        <v>39904</v>
      </c>
      <c r="O184" s="18">
        <v>26</v>
      </c>
      <c r="P184" s="12">
        <v>0</v>
      </c>
      <c r="Q184" s="18" t="s">
        <v>819</v>
      </c>
      <c r="S184" s="18" t="s">
        <v>39</v>
      </c>
      <c r="T184" s="12" t="s">
        <v>40</v>
      </c>
      <c r="U184" s="18" t="str">
        <f t="shared" ref="U184:U190" ca="1" si="25">DATEDIF(G184,$A$5,"Y") &amp;" Tahun, "&amp;DATEDIF(G184,$A$5,"YM") &amp;" Bulan, "&amp;DATEDIF(G184,$A$5,"MD") &amp;" Hari"</f>
        <v>62 Tahun, 1 Bulan, 21 Hari</v>
      </c>
      <c r="V184" s="86" t="s">
        <v>835</v>
      </c>
      <c r="X184" s="92"/>
      <c r="Y184" s="21"/>
      <c r="Z184" s="18"/>
      <c r="AA184" s="18"/>
    </row>
    <row r="185" spans="1:27" x14ac:dyDescent="0.35">
      <c r="A185" s="18">
        <v>2</v>
      </c>
      <c r="B185" s="78" t="s">
        <v>560</v>
      </c>
      <c r="C185" s="34" t="s">
        <v>693</v>
      </c>
      <c r="D185" s="12" t="s">
        <v>33</v>
      </c>
      <c r="E185" s="18"/>
      <c r="F185" s="12" t="s">
        <v>165</v>
      </c>
      <c r="G185" s="21">
        <v>25936</v>
      </c>
      <c r="H185" s="16">
        <v>35490</v>
      </c>
      <c r="I185" s="18">
        <f t="shared" ca="1" si="23"/>
        <v>27</v>
      </c>
      <c r="J185" s="18">
        <f t="shared" ca="1" si="24"/>
        <v>7</v>
      </c>
      <c r="K185" s="50" t="s">
        <v>1133</v>
      </c>
      <c r="L185" s="50"/>
      <c r="M185" s="18" t="s">
        <v>760</v>
      </c>
      <c r="N185" s="83">
        <v>43009</v>
      </c>
      <c r="O185" s="18">
        <v>20</v>
      </c>
      <c r="P185" s="12">
        <v>7</v>
      </c>
      <c r="Q185" s="18" t="s">
        <v>820</v>
      </c>
      <c r="S185" s="18" t="s">
        <v>220</v>
      </c>
      <c r="T185" s="12" t="s">
        <v>40</v>
      </c>
      <c r="U185" s="18" t="str">
        <f t="shared" ca="1" si="25"/>
        <v>53 Tahun, 9 Bulan, 5 Hari</v>
      </c>
      <c r="V185" s="86" t="s">
        <v>835</v>
      </c>
      <c r="W185" s="81">
        <v>785</v>
      </c>
      <c r="X185" s="92">
        <v>42125</v>
      </c>
      <c r="Y185" s="21" t="s">
        <v>885</v>
      </c>
      <c r="Z185" s="21">
        <v>44957</v>
      </c>
      <c r="AA185" s="18"/>
    </row>
    <row r="186" spans="1:27" x14ac:dyDescent="0.35">
      <c r="A186" s="18">
        <v>3</v>
      </c>
      <c r="B186" s="78" t="s">
        <v>561</v>
      </c>
      <c r="C186" s="31" t="s">
        <v>694</v>
      </c>
      <c r="D186" s="12" t="s">
        <v>629</v>
      </c>
      <c r="E186" s="18"/>
      <c r="F186" s="12" t="s">
        <v>153</v>
      </c>
      <c r="G186" s="21">
        <v>26088</v>
      </c>
      <c r="H186" s="16">
        <v>34669</v>
      </c>
      <c r="I186" s="18">
        <f t="shared" ca="1" si="23"/>
        <v>29</v>
      </c>
      <c r="J186" s="18">
        <f t="shared" ca="1" si="24"/>
        <v>10</v>
      </c>
      <c r="K186" s="50" t="s">
        <v>1133</v>
      </c>
      <c r="L186" s="50"/>
      <c r="M186" s="18" t="s">
        <v>177</v>
      </c>
      <c r="N186" s="83">
        <v>44713</v>
      </c>
      <c r="O186" s="18"/>
      <c r="Q186" s="18" t="s">
        <v>821</v>
      </c>
      <c r="S186" s="18" t="s">
        <v>39</v>
      </c>
      <c r="T186" s="12" t="s">
        <v>40</v>
      </c>
      <c r="U186" s="18" t="str">
        <f t="shared" ca="1" si="25"/>
        <v>53 Tahun, 4 Bulan, 4 Hari</v>
      </c>
      <c r="V186" s="86" t="s">
        <v>836</v>
      </c>
      <c r="X186" s="92"/>
      <c r="Y186" s="21"/>
      <c r="Z186" s="18"/>
      <c r="AA186" s="18"/>
    </row>
    <row r="187" spans="1:27" x14ac:dyDescent="0.35">
      <c r="A187" s="18">
        <v>4</v>
      </c>
      <c r="B187" s="78" t="s">
        <v>562</v>
      </c>
      <c r="C187" s="31" t="s">
        <v>695</v>
      </c>
      <c r="D187" s="12" t="s">
        <v>33</v>
      </c>
      <c r="E187" s="18"/>
      <c r="F187" s="12" t="s">
        <v>160</v>
      </c>
      <c r="G187" s="21">
        <v>27834</v>
      </c>
      <c r="H187" s="16">
        <v>40148</v>
      </c>
      <c r="I187" s="18">
        <f t="shared" ca="1" si="23"/>
        <v>14</v>
      </c>
      <c r="J187" s="18">
        <f t="shared" ca="1" si="24"/>
        <v>10</v>
      </c>
      <c r="K187" s="50" t="s">
        <v>1133</v>
      </c>
      <c r="L187" s="50"/>
      <c r="M187" s="18" t="s">
        <v>178</v>
      </c>
      <c r="N187" s="83">
        <v>43739</v>
      </c>
      <c r="O187" s="18">
        <v>9</v>
      </c>
      <c r="P187" s="12">
        <v>10</v>
      </c>
      <c r="Q187" s="18" t="s">
        <v>822</v>
      </c>
      <c r="S187" s="18" t="s">
        <v>39</v>
      </c>
      <c r="T187" s="12" t="s">
        <v>40</v>
      </c>
      <c r="U187" s="18" t="str">
        <f t="shared" ca="1" si="25"/>
        <v>48 Tahun, 6 Bulan, 23 Hari</v>
      </c>
      <c r="V187" s="86" t="s">
        <v>836</v>
      </c>
      <c r="X187" s="92"/>
      <c r="Y187" s="21"/>
      <c r="Z187" s="18"/>
      <c r="AA187" s="18"/>
    </row>
    <row r="188" spans="1:27" x14ac:dyDescent="0.35">
      <c r="A188" s="18">
        <v>5</v>
      </c>
      <c r="B188" s="78" t="s">
        <v>563</v>
      </c>
      <c r="C188" s="31" t="s">
        <v>696</v>
      </c>
      <c r="D188" s="12" t="s">
        <v>33</v>
      </c>
      <c r="E188" s="18"/>
      <c r="F188" s="12" t="s">
        <v>168</v>
      </c>
      <c r="G188" s="21">
        <v>32054</v>
      </c>
      <c r="H188" s="16">
        <v>42095</v>
      </c>
      <c r="I188" s="18">
        <f t="shared" ca="1" si="23"/>
        <v>9</v>
      </c>
      <c r="J188" s="18">
        <f t="shared" ca="1" si="24"/>
        <v>6</v>
      </c>
      <c r="K188" s="50" t="s">
        <v>1133</v>
      </c>
      <c r="L188" s="50"/>
      <c r="M188" s="18" t="s">
        <v>179</v>
      </c>
      <c r="N188" s="83">
        <v>44652</v>
      </c>
      <c r="O188" s="18">
        <v>7</v>
      </c>
      <c r="P188" s="12">
        <v>0</v>
      </c>
      <c r="Q188" s="18" t="s">
        <v>823</v>
      </c>
      <c r="S188" s="18" t="s">
        <v>39</v>
      </c>
      <c r="T188" s="12" t="s">
        <v>40</v>
      </c>
      <c r="U188" s="18" t="str">
        <f t="shared" ca="1" si="25"/>
        <v>37 Tahun, 0 Bulan, 4 Hari</v>
      </c>
      <c r="V188" s="86" t="s">
        <v>836</v>
      </c>
      <c r="X188" s="92"/>
      <c r="Y188" s="21" t="s">
        <v>886</v>
      </c>
      <c r="Z188" s="21">
        <v>44957</v>
      </c>
      <c r="AA188" s="18"/>
    </row>
    <row r="189" spans="1:27" x14ac:dyDescent="0.35">
      <c r="A189" s="18">
        <v>6</v>
      </c>
      <c r="B189" s="78" t="s">
        <v>571</v>
      </c>
      <c r="C189" s="31" t="s">
        <v>697</v>
      </c>
      <c r="D189" s="12" t="s">
        <v>33</v>
      </c>
      <c r="E189" s="18"/>
      <c r="F189" s="12" t="s">
        <v>745</v>
      </c>
      <c r="G189" s="21">
        <v>33607</v>
      </c>
      <c r="H189" s="16">
        <v>43525</v>
      </c>
      <c r="I189" s="18">
        <f t="shared" ca="1" si="23"/>
        <v>5</v>
      </c>
      <c r="J189" s="18">
        <f t="shared" ca="1" si="24"/>
        <v>7</v>
      </c>
      <c r="K189" s="50" t="s">
        <v>1133</v>
      </c>
      <c r="L189" s="50"/>
      <c r="M189" s="18" t="s">
        <v>180</v>
      </c>
      <c r="N189" s="83">
        <v>44197</v>
      </c>
      <c r="O189" s="18">
        <v>1</v>
      </c>
      <c r="P189" s="12">
        <v>10</v>
      </c>
      <c r="Q189" s="18"/>
      <c r="S189" s="18" t="s">
        <v>39</v>
      </c>
      <c r="T189" s="12" t="s">
        <v>40</v>
      </c>
      <c r="U189" s="18" t="str">
        <f t="shared" ca="1" si="25"/>
        <v>32 Tahun, 9 Bulan, 4 Hari</v>
      </c>
      <c r="V189" s="86" t="s">
        <v>836</v>
      </c>
      <c r="W189" s="81">
        <v>328.39</v>
      </c>
      <c r="X189" s="92">
        <v>45170</v>
      </c>
      <c r="Y189" s="21" t="s">
        <v>887</v>
      </c>
      <c r="Z189" s="21">
        <v>45019</v>
      </c>
      <c r="AA189" s="18"/>
    </row>
    <row r="190" spans="1:27" x14ac:dyDescent="0.35">
      <c r="A190" s="18">
        <v>7</v>
      </c>
      <c r="B190" s="78" t="s">
        <v>572</v>
      </c>
      <c r="C190" s="31" t="s">
        <v>698</v>
      </c>
      <c r="D190" s="12" t="s">
        <v>33</v>
      </c>
      <c r="E190" s="18"/>
      <c r="F190" s="12" t="s">
        <v>746</v>
      </c>
      <c r="G190" s="21">
        <v>34274</v>
      </c>
      <c r="H190" s="16">
        <v>44621</v>
      </c>
      <c r="I190" s="18">
        <f t="shared" ca="1" si="23"/>
        <v>2</v>
      </c>
      <c r="J190" s="18">
        <f t="shared" ca="1" si="24"/>
        <v>7</v>
      </c>
      <c r="K190" s="50" t="s">
        <v>1133</v>
      </c>
      <c r="L190" s="50"/>
      <c r="M190" s="18" t="s">
        <v>180</v>
      </c>
      <c r="N190" s="83">
        <v>44621</v>
      </c>
      <c r="O190" s="18"/>
      <c r="Q190" s="18"/>
      <c r="S190" s="18" t="s">
        <v>39</v>
      </c>
      <c r="T190" s="12" t="s">
        <v>40</v>
      </c>
      <c r="U190" s="18" t="str">
        <f t="shared" ca="1" si="25"/>
        <v>30 Tahun, 11 Bulan, 7 Hari</v>
      </c>
      <c r="V190" s="86" t="s">
        <v>837</v>
      </c>
      <c r="X190" s="92"/>
      <c r="Y190" s="21"/>
      <c r="Z190" s="18"/>
      <c r="AA190" s="18" t="s">
        <v>853</v>
      </c>
    </row>
    <row r="194" spans="1:27" x14ac:dyDescent="0.35">
      <c r="A194" s="46" t="str">
        <f>A179</f>
        <v>JURUSAN : REKAYASA DAN KOMPUTER</v>
      </c>
      <c r="B194" s="36"/>
      <c r="C194" s="36"/>
      <c r="D194" s="36"/>
    </row>
    <row r="195" spans="1:27" x14ac:dyDescent="0.35">
      <c r="A195" s="36" t="s">
        <v>463</v>
      </c>
    </row>
    <row r="196" spans="1:27" s="13" customFormat="1" ht="17" customHeight="1" x14ac:dyDescent="0.35">
      <c r="A196" s="234" t="s">
        <v>13</v>
      </c>
      <c r="B196" s="272" t="s">
        <v>14</v>
      </c>
      <c r="C196" s="273" t="s">
        <v>19</v>
      </c>
      <c r="D196" s="275" t="s">
        <v>15</v>
      </c>
      <c r="E196" s="234" t="s">
        <v>18</v>
      </c>
      <c r="F196" s="235" t="s">
        <v>16</v>
      </c>
      <c r="G196" s="234" t="s">
        <v>17</v>
      </c>
      <c r="H196" s="265" t="s">
        <v>36</v>
      </c>
      <c r="I196" s="266" t="s">
        <v>30</v>
      </c>
      <c r="J196" s="267"/>
      <c r="K196" s="228" t="s">
        <v>1215</v>
      </c>
      <c r="L196" s="268" t="s">
        <v>268</v>
      </c>
      <c r="M196" s="234" t="s">
        <v>20</v>
      </c>
      <c r="N196" s="309" t="s">
        <v>21</v>
      </c>
      <c r="O196" s="270" t="s">
        <v>29</v>
      </c>
      <c r="P196" s="271"/>
      <c r="Q196" s="234" t="s">
        <v>22</v>
      </c>
      <c r="R196" s="235" t="s">
        <v>23</v>
      </c>
      <c r="S196" s="67" t="s">
        <v>31</v>
      </c>
      <c r="T196" s="260" t="s">
        <v>25</v>
      </c>
      <c r="U196" s="234" t="s">
        <v>26</v>
      </c>
      <c r="V196" s="306" t="s">
        <v>258</v>
      </c>
      <c r="W196" s="317" t="s">
        <v>838</v>
      </c>
      <c r="X196" s="306" t="s">
        <v>839</v>
      </c>
      <c r="Y196" s="306" t="s">
        <v>840</v>
      </c>
      <c r="Z196" s="308" t="s">
        <v>842</v>
      </c>
      <c r="AA196" s="308" t="s">
        <v>852</v>
      </c>
    </row>
    <row r="197" spans="1:27" s="13" customFormat="1" x14ac:dyDescent="0.35">
      <c r="A197" s="234"/>
      <c r="B197" s="272"/>
      <c r="C197" s="274"/>
      <c r="D197" s="276"/>
      <c r="E197" s="234"/>
      <c r="F197" s="235"/>
      <c r="G197" s="234"/>
      <c r="H197" s="265"/>
      <c r="I197" s="67" t="s">
        <v>3</v>
      </c>
      <c r="J197" s="68" t="s">
        <v>4</v>
      </c>
      <c r="K197" s="229"/>
      <c r="L197" s="269"/>
      <c r="M197" s="234"/>
      <c r="N197" s="260"/>
      <c r="O197" s="67" t="s">
        <v>3</v>
      </c>
      <c r="P197" s="69" t="s">
        <v>4</v>
      </c>
      <c r="Q197" s="234"/>
      <c r="R197" s="235"/>
      <c r="S197" s="67" t="s">
        <v>24</v>
      </c>
      <c r="T197" s="260"/>
      <c r="U197" s="234"/>
      <c r="V197" s="307"/>
      <c r="W197" s="318"/>
      <c r="X197" s="307"/>
      <c r="Y197" s="307"/>
      <c r="Z197" s="308"/>
      <c r="AA197" s="308"/>
    </row>
    <row r="198" spans="1:27" s="61" customFormat="1" ht="13.5" thickBot="1" x14ac:dyDescent="0.4">
      <c r="A198" s="70">
        <v>1</v>
      </c>
      <c r="B198" s="70">
        <v>2</v>
      </c>
      <c r="C198" s="72">
        <v>3</v>
      </c>
      <c r="D198" s="73">
        <v>4</v>
      </c>
      <c r="E198" s="70">
        <v>5</v>
      </c>
      <c r="F198" s="73">
        <v>6</v>
      </c>
      <c r="G198" s="70">
        <v>7</v>
      </c>
      <c r="H198" s="74">
        <v>8</v>
      </c>
      <c r="I198" s="70">
        <v>9</v>
      </c>
      <c r="J198" s="70">
        <v>10</v>
      </c>
      <c r="K198" s="70"/>
      <c r="L198" s="70">
        <v>11</v>
      </c>
      <c r="M198" s="71">
        <v>12</v>
      </c>
      <c r="N198" s="85">
        <v>13</v>
      </c>
      <c r="O198" s="71">
        <v>14</v>
      </c>
      <c r="P198" s="70">
        <v>15</v>
      </c>
      <c r="Q198" s="71">
        <v>16</v>
      </c>
      <c r="R198" s="70">
        <v>17</v>
      </c>
      <c r="S198" s="71">
        <v>18</v>
      </c>
      <c r="T198" s="70">
        <v>19</v>
      </c>
      <c r="U198" s="71">
        <v>20</v>
      </c>
      <c r="V198" s="85">
        <v>21</v>
      </c>
      <c r="W198" s="91">
        <v>22</v>
      </c>
      <c r="X198" s="85">
        <v>23</v>
      </c>
      <c r="Y198" s="74">
        <v>24</v>
      </c>
      <c r="Z198" s="70">
        <v>25</v>
      </c>
      <c r="AA198" s="70">
        <v>26</v>
      </c>
    </row>
    <row r="199" spans="1:27" ht="16" thickTop="1" x14ac:dyDescent="0.35">
      <c r="A199" s="18">
        <v>1</v>
      </c>
      <c r="B199" s="78" t="s">
        <v>573</v>
      </c>
      <c r="C199" s="34" t="s">
        <v>699</v>
      </c>
      <c r="D199" s="12" t="s">
        <v>629</v>
      </c>
      <c r="E199" s="18" t="s">
        <v>1200</v>
      </c>
      <c r="F199" s="12" t="s">
        <v>747</v>
      </c>
      <c r="G199" s="21">
        <v>24983</v>
      </c>
      <c r="H199" s="16">
        <v>35034</v>
      </c>
      <c r="I199" s="18">
        <f ca="1">DATEDIF(H199,$A$5,"Y")</f>
        <v>28</v>
      </c>
      <c r="J199" s="18">
        <f ca="1">DATEDIF(H199,$A$5,"YM")</f>
        <v>10</v>
      </c>
      <c r="K199" s="50" t="s">
        <v>1133</v>
      </c>
      <c r="L199" s="49"/>
      <c r="M199" s="18" t="s">
        <v>177</v>
      </c>
      <c r="N199" s="83">
        <v>38991</v>
      </c>
      <c r="O199" s="18">
        <v>21</v>
      </c>
      <c r="P199" s="12">
        <v>1</v>
      </c>
      <c r="Q199" s="18" t="s">
        <v>824</v>
      </c>
      <c r="S199" s="18" t="s">
        <v>39</v>
      </c>
      <c r="T199" s="12" t="s">
        <v>40</v>
      </c>
      <c r="U199" s="18" t="str">
        <f ca="1">DATEDIF(G199,$A$5,"Y") &amp;" Tahun, "&amp;DATEDIF(G199,$A$5,"YM") &amp;" Bulan, "&amp;DATEDIF(G199,$A$5,"MD") &amp;" Hari"</f>
        <v>56 Tahun, 4 Bulan, 13 Hari</v>
      </c>
      <c r="V199" s="86" t="s">
        <v>836</v>
      </c>
      <c r="X199" s="92"/>
      <c r="Y199" s="21" t="s">
        <v>888</v>
      </c>
      <c r="Z199" s="21">
        <v>45239</v>
      </c>
      <c r="AA199" s="18" t="s">
        <v>889</v>
      </c>
    </row>
    <row r="200" spans="1:27" x14ac:dyDescent="0.35">
      <c r="A200" s="18">
        <v>2</v>
      </c>
      <c r="B200" s="78" t="s">
        <v>574</v>
      </c>
      <c r="C200" s="34" t="s">
        <v>700</v>
      </c>
      <c r="D200" s="12" t="s">
        <v>33</v>
      </c>
      <c r="E200" s="18" t="s">
        <v>1201</v>
      </c>
      <c r="F200" s="12" t="s">
        <v>171</v>
      </c>
      <c r="G200" s="21">
        <v>27315</v>
      </c>
      <c r="H200" s="16">
        <v>37226</v>
      </c>
      <c r="I200" s="18">
        <f t="shared" ref="I200:I210" ca="1" si="26">DATEDIF(H200,$A$5,"Y")</f>
        <v>22</v>
      </c>
      <c r="J200" s="18">
        <f t="shared" ref="J200:J210" ca="1" si="27">DATEDIF(H200,$A$5,"YM")</f>
        <v>10</v>
      </c>
      <c r="K200" s="50" t="s">
        <v>1133</v>
      </c>
      <c r="L200" s="50"/>
      <c r="M200" s="18" t="s">
        <v>178</v>
      </c>
      <c r="N200" s="83">
        <v>41183</v>
      </c>
      <c r="O200" s="18">
        <v>14</v>
      </c>
      <c r="P200" s="12">
        <v>4</v>
      </c>
      <c r="Q200" s="18" t="s">
        <v>825</v>
      </c>
      <c r="S200" s="18" t="s">
        <v>39</v>
      </c>
      <c r="T200" s="12" t="s">
        <v>40</v>
      </c>
      <c r="U200" s="18" t="str">
        <f t="shared" ref="U200:U210" ca="1" si="28">DATEDIF(G200,$A$5,"Y") &amp;" Tahun, "&amp;DATEDIF(G200,$A$5,"YM") &amp;" Bulan, "&amp;DATEDIF(G200,$A$5,"MD") &amp;" Hari"</f>
        <v>49 Tahun, 11 Bulan, 25 Hari</v>
      </c>
      <c r="V200" s="86" t="s">
        <v>836</v>
      </c>
      <c r="X200" s="92"/>
      <c r="Y200" s="21"/>
      <c r="Z200" s="18"/>
      <c r="AA200" s="18" t="s">
        <v>889</v>
      </c>
    </row>
    <row r="201" spans="1:27" x14ac:dyDescent="0.35">
      <c r="A201" s="18">
        <v>3</v>
      </c>
      <c r="B201" s="78" t="s">
        <v>575</v>
      </c>
      <c r="C201" s="34" t="s">
        <v>701</v>
      </c>
      <c r="D201" s="12" t="s">
        <v>33</v>
      </c>
      <c r="E201" s="18" t="s">
        <v>1202</v>
      </c>
      <c r="F201" s="12" t="s">
        <v>151</v>
      </c>
      <c r="G201" s="21">
        <v>29019</v>
      </c>
      <c r="H201" s="16">
        <v>39783</v>
      </c>
      <c r="I201" s="18">
        <f t="shared" ca="1" si="26"/>
        <v>15</v>
      </c>
      <c r="J201" s="18">
        <f t="shared" ca="1" si="27"/>
        <v>10</v>
      </c>
      <c r="K201" s="50" t="s">
        <v>1133</v>
      </c>
      <c r="L201" s="50"/>
      <c r="M201" s="18" t="s">
        <v>178</v>
      </c>
      <c r="N201" s="83">
        <v>42826</v>
      </c>
      <c r="O201" s="18">
        <v>8</v>
      </c>
      <c r="P201" s="12">
        <v>4</v>
      </c>
      <c r="Q201" s="18" t="s">
        <v>826</v>
      </c>
      <c r="S201" s="18" t="s">
        <v>39</v>
      </c>
      <c r="T201" s="12" t="s">
        <v>40</v>
      </c>
      <c r="U201" s="18" t="str">
        <f t="shared" ca="1" si="28"/>
        <v>45 Tahun, 3 Bulan, 25 Hari</v>
      </c>
      <c r="V201" s="86" t="s">
        <v>836</v>
      </c>
      <c r="X201" s="92"/>
      <c r="Y201" s="80" t="s">
        <v>890</v>
      </c>
      <c r="Z201" s="21">
        <v>44874</v>
      </c>
      <c r="AA201" s="18"/>
    </row>
    <row r="202" spans="1:27" x14ac:dyDescent="0.35">
      <c r="A202" s="18">
        <v>4</v>
      </c>
      <c r="B202" s="78" t="s">
        <v>576</v>
      </c>
      <c r="C202" s="34" t="s">
        <v>702</v>
      </c>
      <c r="D202" s="12" t="s">
        <v>33</v>
      </c>
      <c r="E202" s="18"/>
      <c r="F202" s="12" t="s">
        <v>35</v>
      </c>
      <c r="G202" s="21">
        <v>30516</v>
      </c>
      <c r="H202" s="16">
        <v>40148</v>
      </c>
      <c r="I202" s="18">
        <f t="shared" ca="1" si="26"/>
        <v>14</v>
      </c>
      <c r="J202" s="18">
        <f t="shared" ca="1" si="27"/>
        <v>10</v>
      </c>
      <c r="K202" s="50" t="s">
        <v>1133</v>
      </c>
      <c r="L202" s="50"/>
      <c r="M202" s="18" t="s">
        <v>179</v>
      </c>
      <c r="N202" s="83">
        <v>44105</v>
      </c>
      <c r="O202" s="18">
        <v>10</v>
      </c>
      <c r="P202" s="12">
        <v>4</v>
      </c>
      <c r="Q202" s="18" t="s">
        <v>827</v>
      </c>
      <c r="S202" s="18" t="s">
        <v>39</v>
      </c>
      <c r="T202" s="12" t="s">
        <v>219</v>
      </c>
      <c r="U202" s="18" t="str">
        <f t="shared" ca="1" si="28"/>
        <v>41 Tahun, 2 Bulan, 19 Hari</v>
      </c>
      <c r="V202" s="86" t="s">
        <v>836</v>
      </c>
      <c r="X202" s="92"/>
      <c r="Y202" s="21"/>
      <c r="Z202" s="18"/>
      <c r="AA202" s="18"/>
    </row>
    <row r="203" spans="1:27" x14ac:dyDescent="0.35">
      <c r="A203" s="18">
        <v>5</v>
      </c>
      <c r="B203" s="78" t="s">
        <v>577</v>
      </c>
      <c r="C203" s="34" t="s">
        <v>703</v>
      </c>
      <c r="D203" s="12" t="s">
        <v>33</v>
      </c>
      <c r="E203" s="18"/>
      <c r="F203" s="12" t="s">
        <v>748</v>
      </c>
      <c r="G203" s="21">
        <v>32452</v>
      </c>
      <c r="H203" s="16">
        <v>43160</v>
      </c>
      <c r="I203" s="18">
        <f t="shared" ca="1" si="26"/>
        <v>6</v>
      </c>
      <c r="J203" s="18">
        <f t="shared" ca="1" si="27"/>
        <v>7</v>
      </c>
      <c r="K203" s="50" t="s">
        <v>1133</v>
      </c>
      <c r="L203" s="50"/>
      <c r="M203" s="18" t="s">
        <v>179</v>
      </c>
      <c r="N203" s="83">
        <v>44652</v>
      </c>
      <c r="O203" s="18">
        <v>4</v>
      </c>
      <c r="P203" s="12">
        <v>1</v>
      </c>
      <c r="Q203" s="18" t="s">
        <v>828</v>
      </c>
      <c r="S203" s="18" t="s">
        <v>220</v>
      </c>
      <c r="T203" s="12" t="s">
        <v>219</v>
      </c>
      <c r="U203" s="18" t="str">
        <f t="shared" ca="1" si="28"/>
        <v>35 Tahun, 11 Bulan, 3 Hari</v>
      </c>
      <c r="V203" s="86" t="s">
        <v>836</v>
      </c>
      <c r="X203" s="92"/>
      <c r="Y203" s="21" t="s">
        <v>891</v>
      </c>
      <c r="Z203" s="21">
        <v>44957</v>
      </c>
      <c r="AA203" s="18"/>
    </row>
    <row r="204" spans="1:27" x14ac:dyDescent="0.35">
      <c r="A204" s="18">
        <v>6</v>
      </c>
      <c r="B204" s="78" t="s">
        <v>578</v>
      </c>
      <c r="C204" s="34" t="s">
        <v>704</v>
      </c>
      <c r="D204" s="12" t="s">
        <v>33</v>
      </c>
      <c r="E204" s="18"/>
      <c r="F204" s="12" t="s">
        <v>641</v>
      </c>
      <c r="G204" s="21">
        <v>32661</v>
      </c>
      <c r="H204" s="16">
        <v>43160</v>
      </c>
      <c r="I204" s="18">
        <f t="shared" ca="1" si="26"/>
        <v>6</v>
      </c>
      <c r="J204" s="18">
        <f t="shared" ca="1" si="27"/>
        <v>7</v>
      </c>
      <c r="K204" s="50" t="s">
        <v>1133</v>
      </c>
      <c r="L204" s="50"/>
      <c r="M204" s="18" t="s">
        <v>179</v>
      </c>
      <c r="N204" s="83">
        <v>45017</v>
      </c>
      <c r="O204" s="18">
        <v>5</v>
      </c>
      <c r="P204" s="12">
        <v>1</v>
      </c>
      <c r="Q204" s="18" t="s">
        <v>829</v>
      </c>
      <c r="S204" s="18" t="s">
        <v>39</v>
      </c>
      <c r="T204" s="12" t="s">
        <v>40</v>
      </c>
      <c r="U204" s="18" t="str">
        <f t="shared" ca="1" si="28"/>
        <v>35 Tahun, 4 Bulan, 6 Hari</v>
      </c>
      <c r="V204" s="86" t="s">
        <v>836</v>
      </c>
      <c r="X204" s="92"/>
      <c r="Y204" s="21" t="s">
        <v>892</v>
      </c>
      <c r="Z204" s="21">
        <v>44957</v>
      </c>
      <c r="AA204" s="18"/>
    </row>
    <row r="205" spans="1:27" x14ac:dyDescent="0.35">
      <c r="A205" s="18">
        <v>7</v>
      </c>
      <c r="B205" s="78" t="s">
        <v>580</v>
      </c>
      <c r="C205" s="34" t="s">
        <v>705</v>
      </c>
      <c r="D205" s="12" t="s">
        <v>33</v>
      </c>
      <c r="E205" s="18"/>
      <c r="F205" s="12" t="s">
        <v>35</v>
      </c>
      <c r="G205" s="21">
        <v>32664</v>
      </c>
      <c r="H205" s="16">
        <v>43525</v>
      </c>
      <c r="I205" s="18">
        <f t="shared" ca="1" si="26"/>
        <v>5</v>
      </c>
      <c r="J205" s="18">
        <f t="shared" ca="1" si="27"/>
        <v>7</v>
      </c>
      <c r="K205" s="50" t="s">
        <v>1133</v>
      </c>
      <c r="L205" s="50"/>
      <c r="M205" s="18" t="s">
        <v>179</v>
      </c>
      <c r="N205" s="83">
        <v>45017</v>
      </c>
      <c r="O205" s="18">
        <v>4</v>
      </c>
      <c r="P205" s="12">
        <v>1</v>
      </c>
      <c r="Q205" s="18"/>
      <c r="S205" s="18" t="s">
        <v>39</v>
      </c>
      <c r="T205" s="12" t="s">
        <v>40</v>
      </c>
      <c r="U205" s="18" t="str">
        <f t="shared" ca="1" si="28"/>
        <v>35 Tahun, 4 Bulan, 3 Hari</v>
      </c>
      <c r="V205" s="86" t="s">
        <v>836</v>
      </c>
      <c r="W205" s="81">
        <v>226.24</v>
      </c>
      <c r="X205" s="92">
        <v>44896</v>
      </c>
      <c r="Y205" s="21" t="s">
        <v>893</v>
      </c>
      <c r="Z205" s="21">
        <v>44959</v>
      </c>
      <c r="AA205" s="18"/>
    </row>
    <row r="206" spans="1:27" x14ac:dyDescent="0.35">
      <c r="A206" s="18">
        <v>8</v>
      </c>
      <c r="B206" s="78" t="s">
        <v>581</v>
      </c>
      <c r="C206" s="34" t="s">
        <v>706</v>
      </c>
      <c r="D206" s="12" t="s">
        <v>33</v>
      </c>
      <c r="E206" s="18"/>
      <c r="F206" s="12" t="s">
        <v>732</v>
      </c>
      <c r="G206" s="21">
        <v>32261</v>
      </c>
      <c r="H206" s="16">
        <v>43525</v>
      </c>
      <c r="I206" s="18">
        <f t="shared" ca="1" si="26"/>
        <v>5</v>
      </c>
      <c r="J206" s="18">
        <f t="shared" ca="1" si="27"/>
        <v>7</v>
      </c>
      <c r="K206" s="50" t="s">
        <v>1133</v>
      </c>
      <c r="L206" s="50"/>
      <c r="M206" s="18" t="s">
        <v>180</v>
      </c>
      <c r="N206" s="83">
        <v>44197</v>
      </c>
      <c r="O206" s="18">
        <v>1</v>
      </c>
      <c r="P206" s="12">
        <v>10</v>
      </c>
      <c r="Q206" s="18"/>
      <c r="S206" s="18" t="s">
        <v>220</v>
      </c>
      <c r="T206" s="12" t="s">
        <v>40</v>
      </c>
      <c r="U206" s="18" t="str">
        <f t="shared" ca="1" si="28"/>
        <v>36 Tahun, 5 Bulan, 10 Hari</v>
      </c>
      <c r="V206" s="86" t="s">
        <v>836</v>
      </c>
      <c r="W206" s="88">
        <v>263.2</v>
      </c>
      <c r="X206" s="92">
        <v>45170</v>
      </c>
      <c r="Y206" s="21"/>
      <c r="Z206" s="18"/>
      <c r="AA206" s="18"/>
    </row>
    <row r="207" spans="1:27" x14ac:dyDescent="0.35">
      <c r="A207" s="18">
        <v>9</v>
      </c>
      <c r="B207" s="78" t="s">
        <v>582</v>
      </c>
      <c r="C207" s="34" t="s">
        <v>707</v>
      </c>
      <c r="D207" s="12" t="s">
        <v>33</v>
      </c>
      <c r="E207" s="18"/>
      <c r="F207" s="12" t="s">
        <v>166</v>
      </c>
      <c r="G207" s="21">
        <v>33391</v>
      </c>
      <c r="H207" s="16">
        <v>43525</v>
      </c>
      <c r="I207" s="18">
        <f t="shared" ca="1" si="26"/>
        <v>5</v>
      </c>
      <c r="J207" s="18">
        <f t="shared" ca="1" si="27"/>
        <v>7</v>
      </c>
      <c r="K207" s="50" t="s">
        <v>1133</v>
      </c>
      <c r="L207" s="50"/>
      <c r="M207" s="18" t="s">
        <v>179</v>
      </c>
      <c r="N207" s="83">
        <v>45200</v>
      </c>
      <c r="O207" s="18">
        <v>4</v>
      </c>
      <c r="P207" s="12">
        <v>7</v>
      </c>
      <c r="Q207" s="18"/>
      <c r="S207" s="18" t="s">
        <v>39</v>
      </c>
      <c r="T207" s="12" t="s">
        <v>40</v>
      </c>
      <c r="U207" s="18" t="str">
        <f t="shared" ca="1" si="28"/>
        <v>33 Tahun, 4 Bulan, 6 Hari</v>
      </c>
      <c r="V207" s="86" t="s">
        <v>836</v>
      </c>
      <c r="X207" s="92"/>
      <c r="Y207" s="21"/>
      <c r="Z207" s="18"/>
      <c r="AA207" s="18"/>
    </row>
    <row r="208" spans="1:27" x14ac:dyDescent="0.35">
      <c r="A208" s="18">
        <v>10</v>
      </c>
      <c r="B208" s="78" t="s">
        <v>583</v>
      </c>
      <c r="C208" s="34" t="s">
        <v>708</v>
      </c>
      <c r="D208" s="12" t="s">
        <v>33</v>
      </c>
      <c r="E208" s="18"/>
      <c r="F208" s="12" t="s">
        <v>749</v>
      </c>
      <c r="G208" s="21">
        <v>33251</v>
      </c>
      <c r="H208" s="16">
        <v>43525</v>
      </c>
      <c r="I208" s="18">
        <f t="shared" ca="1" si="26"/>
        <v>5</v>
      </c>
      <c r="J208" s="18">
        <f t="shared" ca="1" si="27"/>
        <v>7</v>
      </c>
      <c r="K208" s="50" t="s">
        <v>1133</v>
      </c>
      <c r="L208" s="50"/>
      <c r="M208" s="18" t="s">
        <v>180</v>
      </c>
      <c r="N208" s="83">
        <v>44197</v>
      </c>
      <c r="O208" s="18">
        <v>1</v>
      </c>
      <c r="P208" s="12">
        <v>10</v>
      </c>
      <c r="Q208" s="18"/>
      <c r="S208" s="18" t="s">
        <v>220</v>
      </c>
      <c r="T208" s="12" t="s">
        <v>40</v>
      </c>
      <c r="U208" s="18" t="str">
        <f t="shared" ca="1" si="28"/>
        <v>33 Tahun, 8 Bulan, 25 Hari</v>
      </c>
      <c r="V208" s="86" t="s">
        <v>837</v>
      </c>
      <c r="X208" s="92"/>
      <c r="Y208" s="21" t="s">
        <v>894</v>
      </c>
      <c r="Z208" s="21">
        <v>45239</v>
      </c>
      <c r="AA208" s="18"/>
    </row>
    <row r="209" spans="1:27" x14ac:dyDescent="0.35">
      <c r="A209" s="18">
        <v>11</v>
      </c>
      <c r="B209" s="78" t="s">
        <v>586</v>
      </c>
      <c r="C209" s="34" t="s">
        <v>709</v>
      </c>
      <c r="D209" s="12" t="s">
        <v>33</v>
      </c>
      <c r="E209" s="18"/>
      <c r="F209" s="12" t="s">
        <v>166</v>
      </c>
      <c r="G209" s="21">
        <v>32547</v>
      </c>
      <c r="H209" s="16">
        <v>44166</v>
      </c>
      <c r="I209" s="18">
        <f t="shared" ca="1" si="26"/>
        <v>3</v>
      </c>
      <c r="J209" s="18">
        <f t="shared" ca="1" si="27"/>
        <v>10</v>
      </c>
      <c r="K209" s="50" t="s">
        <v>1133</v>
      </c>
      <c r="L209" s="50"/>
      <c r="M209" s="18" t="s">
        <v>179</v>
      </c>
      <c r="N209" s="83">
        <v>45200</v>
      </c>
      <c r="O209" s="18">
        <v>2</v>
      </c>
      <c r="P209" s="12">
        <v>10</v>
      </c>
      <c r="Q209" s="18"/>
      <c r="S209" s="18" t="s">
        <v>39</v>
      </c>
      <c r="T209" s="12" t="s">
        <v>40</v>
      </c>
      <c r="U209" s="18" t="str">
        <f t="shared" ca="1" si="28"/>
        <v>35 Tahun, 8 Bulan, 0 Hari</v>
      </c>
      <c r="V209" s="86" t="s">
        <v>836</v>
      </c>
      <c r="X209" s="92"/>
      <c r="Y209" s="21" t="s">
        <v>895</v>
      </c>
      <c r="Z209" s="21">
        <v>45239</v>
      </c>
      <c r="AA209" s="18"/>
    </row>
    <row r="210" spans="1:27" x14ac:dyDescent="0.35">
      <c r="A210" s="18">
        <v>12</v>
      </c>
      <c r="B210" s="78" t="s">
        <v>587</v>
      </c>
      <c r="C210" s="34" t="s">
        <v>710</v>
      </c>
      <c r="D210" s="12" t="s">
        <v>33</v>
      </c>
      <c r="E210" s="18"/>
      <c r="F210" s="12" t="s">
        <v>35</v>
      </c>
      <c r="G210" s="21">
        <v>33546</v>
      </c>
      <c r="H210" s="16">
        <v>44621</v>
      </c>
      <c r="I210" s="18">
        <f t="shared" ca="1" si="26"/>
        <v>2</v>
      </c>
      <c r="J210" s="18">
        <f t="shared" ca="1" si="27"/>
        <v>7</v>
      </c>
      <c r="K210" s="50" t="s">
        <v>1133</v>
      </c>
      <c r="L210" s="50"/>
      <c r="M210" s="18" t="s">
        <v>180</v>
      </c>
      <c r="N210" s="83">
        <v>44621</v>
      </c>
      <c r="O210" s="18"/>
      <c r="Q210" s="18"/>
      <c r="S210" s="18" t="s">
        <v>39</v>
      </c>
      <c r="T210" s="12" t="s">
        <v>40</v>
      </c>
      <c r="U210" s="18" t="str">
        <f t="shared" ca="1" si="28"/>
        <v>32 Tahun, 11 Bulan, 4 Hari</v>
      </c>
      <c r="V210" s="86" t="s">
        <v>837</v>
      </c>
      <c r="W210" s="88">
        <v>150</v>
      </c>
      <c r="X210" s="92">
        <v>45170</v>
      </c>
      <c r="Y210" s="21" t="s">
        <v>896</v>
      </c>
      <c r="Z210" s="21">
        <v>44951</v>
      </c>
      <c r="AA210" s="18" t="s">
        <v>853</v>
      </c>
    </row>
    <row r="211" spans="1:27" x14ac:dyDescent="0.35">
      <c r="A211" s="18">
        <v>13</v>
      </c>
      <c r="B211" s="78" t="s">
        <v>589</v>
      </c>
      <c r="C211" s="31" t="s">
        <v>711</v>
      </c>
      <c r="D211" s="12" t="s">
        <v>33</v>
      </c>
      <c r="E211" s="18"/>
      <c r="F211" s="12" t="s">
        <v>35</v>
      </c>
      <c r="G211" s="21">
        <v>33887</v>
      </c>
      <c r="H211" s="16">
        <v>44621</v>
      </c>
      <c r="I211" s="18">
        <f ca="1">DATEDIF(H211,$A$5,"Y")</f>
        <v>2</v>
      </c>
      <c r="J211" s="18">
        <f ca="1">DATEDIF(H211,$A$5,"YM")</f>
        <v>7</v>
      </c>
      <c r="K211" s="50" t="s">
        <v>1133</v>
      </c>
      <c r="L211" s="50"/>
      <c r="M211" s="18" t="s">
        <v>180</v>
      </c>
      <c r="N211" s="83">
        <v>44621</v>
      </c>
      <c r="O211" s="18"/>
      <c r="Q211" s="18"/>
      <c r="S211" s="18" t="s">
        <v>39</v>
      </c>
      <c r="T211" s="12" t="s">
        <v>40</v>
      </c>
      <c r="U211" s="18" t="str">
        <f ca="1">DATEDIF(G211,$A$5,"Y") &amp;" Tahun, "&amp;DATEDIF(G211,$A$5,"YM") &amp;" Bulan, "&amp;DATEDIF(G211,$A$5,"MD") &amp;" Hari"</f>
        <v>31 Tahun, 11 Bulan, 28 Hari</v>
      </c>
      <c r="V211" s="86" t="s">
        <v>837</v>
      </c>
      <c r="W211" s="88">
        <v>150</v>
      </c>
      <c r="X211" s="92">
        <v>45170</v>
      </c>
      <c r="Y211" s="21"/>
      <c r="Z211" s="18"/>
      <c r="AA211" s="18" t="s">
        <v>853</v>
      </c>
    </row>
    <row r="215" spans="1:27" x14ac:dyDescent="0.35">
      <c r="A215" s="46" t="str">
        <f>A179</f>
        <v>JURUSAN : REKAYASA DAN KOMPUTER</v>
      </c>
      <c r="B215" s="36"/>
      <c r="C215" s="36"/>
      <c r="D215" s="36"/>
    </row>
    <row r="216" spans="1:27" x14ac:dyDescent="0.35">
      <c r="A216" s="36" t="s">
        <v>590</v>
      </c>
    </row>
    <row r="217" spans="1:27" s="13" customFormat="1" ht="17" customHeight="1" x14ac:dyDescent="0.35">
      <c r="A217" s="234" t="s">
        <v>13</v>
      </c>
      <c r="B217" s="272" t="s">
        <v>14</v>
      </c>
      <c r="C217" s="273" t="s">
        <v>19</v>
      </c>
      <c r="D217" s="275" t="s">
        <v>15</v>
      </c>
      <c r="E217" s="234" t="s">
        <v>18</v>
      </c>
      <c r="F217" s="235" t="s">
        <v>16</v>
      </c>
      <c r="G217" s="234" t="s">
        <v>17</v>
      </c>
      <c r="H217" s="265" t="s">
        <v>36</v>
      </c>
      <c r="I217" s="266" t="s">
        <v>30</v>
      </c>
      <c r="J217" s="267"/>
      <c r="K217" s="228" t="s">
        <v>1215</v>
      </c>
      <c r="L217" s="268" t="s">
        <v>268</v>
      </c>
      <c r="M217" s="234" t="s">
        <v>20</v>
      </c>
      <c r="N217" s="309" t="s">
        <v>21</v>
      </c>
      <c r="O217" s="270" t="s">
        <v>29</v>
      </c>
      <c r="P217" s="271"/>
      <c r="Q217" s="234" t="s">
        <v>22</v>
      </c>
      <c r="R217" s="235" t="s">
        <v>23</v>
      </c>
      <c r="S217" s="67" t="s">
        <v>31</v>
      </c>
      <c r="T217" s="260" t="s">
        <v>25</v>
      </c>
      <c r="U217" s="234" t="s">
        <v>26</v>
      </c>
      <c r="V217" s="306" t="s">
        <v>258</v>
      </c>
      <c r="W217" s="317" t="s">
        <v>838</v>
      </c>
      <c r="X217" s="306" t="s">
        <v>839</v>
      </c>
      <c r="Y217" s="306" t="s">
        <v>840</v>
      </c>
      <c r="Z217" s="308" t="s">
        <v>842</v>
      </c>
      <c r="AA217" s="308" t="s">
        <v>852</v>
      </c>
    </row>
    <row r="218" spans="1:27" s="13" customFormat="1" x14ac:dyDescent="0.35">
      <c r="A218" s="234"/>
      <c r="B218" s="272"/>
      <c r="C218" s="274"/>
      <c r="D218" s="276"/>
      <c r="E218" s="234"/>
      <c r="F218" s="235"/>
      <c r="G218" s="234"/>
      <c r="H218" s="265"/>
      <c r="I218" s="67" t="s">
        <v>3</v>
      </c>
      <c r="J218" s="68" t="s">
        <v>4</v>
      </c>
      <c r="K218" s="229"/>
      <c r="L218" s="269"/>
      <c r="M218" s="234"/>
      <c r="N218" s="260"/>
      <c r="O218" s="67" t="s">
        <v>3</v>
      </c>
      <c r="P218" s="69" t="s">
        <v>4</v>
      </c>
      <c r="Q218" s="234"/>
      <c r="R218" s="235"/>
      <c r="S218" s="67" t="s">
        <v>24</v>
      </c>
      <c r="T218" s="260"/>
      <c r="U218" s="234"/>
      <c r="V218" s="307"/>
      <c r="W218" s="318"/>
      <c r="X218" s="307"/>
      <c r="Y218" s="307"/>
      <c r="Z218" s="308"/>
      <c r="AA218" s="308"/>
    </row>
    <row r="219" spans="1:27" s="61" customFormat="1" ht="13.5" thickBot="1" x14ac:dyDescent="0.4">
      <c r="A219" s="70">
        <v>1</v>
      </c>
      <c r="B219" s="71">
        <v>2</v>
      </c>
      <c r="C219" s="72">
        <v>3</v>
      </c>
      <c r="D219" s="73">
        <v>4</v>
      </c>
      <c r="E219" s="70">
        <v>5</v>
      </c>
      <c r="F219" s="73">
        <v>6</v>
      </c>
      <c r="G219" s="70">
        <v>7</v>
      </c>
      <c r="H219" s="74">
        <v>8</v>
      </c>
      <c r="I219" s="70">
        <v>9</v>
      </c>
      <c r="J219" s="70">
        <v>10</v>
      </c>
      <c r="K219" s="70"/>
      <c r="L219" s="70">
        <v>11</v>
      </c>
      <c r="M219" s="71">
        <v>12</v>
      </c>
      <c r="N219" s="85">
        <v>13</v>
      </c>
      <c r="O219" s="71">
        <v>14</v>
      </c>
      <c r="P219" s="70">
        <v>15</v>
      </c>
      <c r="Q219" s="71">
        <v>16</v>
      </c>
      <c r="R219" s="70">
        <v>17</v>
      </c>
      <c r="S219" s="71">
        <v>18</v>
      </c>
      <c r="T219" s="70">
        <v>19</v>
      </c>
      <c r="U219" s="71">
        <v>20</v>
      </c>
      <c r="V219" s="85">
        <v>21</v>
      </c>
      <c r="W219" s="91">
        <v>22</v>
      </c>
      <c r="X219" s="85">
        <v>23</v>
      </c>
      <c r="Y219" s="74">
        <v>24</v>
      </c>
      <c r="Z219" s="70">
        <v>25</v>
      </c>
      <c r="AA219" s="70">
        <v>26</v>
      </c>
    </row>
    <row r="220" spans="1:27" ht="16" thickTop="1" x14ac:dyDescent="0.35">
      <c r="A220" s="18">
        <v>1</v>
      </c>
      <c r="B220" s="15" t="s">
        <v>567</v>
      </c>
      <c r="C220" s="34" t="s">
        <v>712</v>
      </c>
      <c r="D220" s="12" t="s">
        <v>33</v>
      </c>
      <c r="E220" s="18" t="s">
        <v>1198</v>
      </c>
      <c r="F220" s="12" t="s">
        <v>750</v>
      </c>
      <c r="G220" s="21">
        <v>33158</v>
      </c>
      <c r="H220" s="16">
        <v>41730</v>
      </c>
      <c r="I220" s="18">
        <f t="shared" ref="I220:I226" ca="1" si="29">DATEDIF(H220,$A$5,"Y")</f>
        <v>10</v>
      </c>
      <c r="J220" s="18">
        <f t="shared" ref="J220:J226" ca="1" si="30">DATEDIF(H220,$A$5,"YM")</f>
        <v>6</v>
      </c>
      <c r="K220" s="50" t="s">
        <v>1133</v>
      </c>
      <c r="L220" s="49"/>
      <c r="M220" s="18" t="s">
        <v>179</v>
      </c>
      <c r="N220" s="83">
        <v>45200</v>
      </c>
      <c r="O220" s="18">
        <v>9</v>
      </c>
      <c r="P220" s="12">
        <v>6</v>
      </c>
      <c r="Q220" s="18" t="s">
        <v>830</v>
      </c>
      <c r="S220" s="18" t="s">
        <v>39</v>
      </c>
      <c r="T220" s="12" t="s">
        <v>40</v>
      </c>
      <c r="U220" s="18" t="str">
        <f t="shared" ref="U220:U226" ca="1" si="31">DATEDIF(G220,$A$5,"Y") &amp;" Tahun, "&amp;DATEDIF(G220,$A$5,"YM") &amp;" Bulan, "&amp;DATEDIF(G220,$A$5,"MD") &amp;" Hari"</f>
        <v>33 Tahun, 11 Bulan, 26 Hari</v>
      </c>
      <c r="V220" s="86" t="s">
        <v>836</v>
      </c>
      <c r="X220" s="92"/>
      <c r="Y220" s="21" t="s">
        <v>897</v>
      </c>
      <c r="Z220" s="21">
        <v>44951</v>
      </c>
      <c r="AA220" s="18"/>
    </row>
    <row r="221" spans="1:27" x14ac:dyDescent="0.35">
      <c r="A221" s="18">
        <v>2</v>
      </c>
      <c r="B221" s="15" t="s">
        <v>566</v>
      </c>
      <c r="C221" s="34" t="s">
        <v>713</v>
      </c>
      <c r="D221" s="12" t="s">
        <v>33</v>
      </c>
      <c r="E221" s="18" t="s">
        <v>1198</v>
      </c>
      <c r="F221" s="12" t="s">
        <v>751</v>
      </c>
      <c r="G221" s="21">
        <v>33195</v>
      </c>
      <c r="H221" s="16">
        <v>41730</v>
      </c>
      <c r="I221" s="18">
        <f t="shared" ca="1" si="29"/>
        <v>10</v>
      </c>
      <c r="J221" s="18">
        <f t="shared" ca="1" si="30"/>
        <v>6</v>
      </c>
      <c r="K221" s="50" t="s">
        <v>1133</v>
      </c>
      <c r="L221" s="50"/>
      <c r="M221" s="18" t="s">
        <v>179</v>
      </c>
      <c r="N221" s="83">
        <v>45017</v>
      </c>
      <c r="O221" s="18">
        <v>9</v>
      </c>
      <c r="P221" s="12">
        <v>0</v>
      </c>
      <c r="Q221" s="18" t="s">
        <v>831</v>
      </c>
      <c r="S221" s="18" t="s">
        <v>39</v>
      </c>
      <c r="T221" s="12" t="s">
        <v>40</v>
      </c>
      <c r="U221" s="18" t="str">
        <f t="shared" ca="1" si="31"/>
        <v>33 Tahun, 10 Bulan, 20 Hari</v>
      </c>
      <c r="V221" s="86" t="s">
        <v>836</v>
      </c>
      <c r="X221" s="92"/>
      <c r="Y221" s="21"/>
      <c r="Z221" s="18"/>
      <c r="AA221" s="18"/>
    </row>
    <row r="222" spans="1:27" x14ac:dyDescent="0.35">
      <c r="A222" s="18">
        <v>3</v>
      </c>
      <c r="B222" s="15" t="s">
        <v>564</v>
      </c>
      <c r="C222" s="34" t="s">
        <v>714</v>
      </c>
      <c r="D222" s="12" t="s">
        <v>33</v>
      </c>
      <c r="E222" s="18" t="s">
        <v>1198</v>
      </c>
      <c r="F222" s="12" t="s">
        <v>322</v>
      </c>
      <c r="G222" s="21">
        <v>32895</v>
      </c>
      <c r="H222" s="16">
        <v>42095</v>
      </c>
      <c r="I222" s="18">
        <f t="shared" ca="1" si="29"/>
        <v>9</v>
      </c>
      <c r="J222" s="18">
        <f t="shared" ca="1" si="30"/>
        <v>6</v>
      </c>
      <c r="K222" s="50" t="s">
        <v>1133</v>
      </c>
      <c r="L222" s="50"/>
      <c r="M222" s="18" t="s">
        <v>179</v>
      </c>
      <c r="N222" s="83">
        <v>44652</v>
      </c>
      <c r="O222" s="18">
        <v>7</v>
      </c>
      <c r="P222" s="12">
        <v>0</v>
      </c>
      <c r="Q222" s="18" t="s">
        <v>832</v>
      </c>
      <c r="S222" s="18" t="s">
        <v>39</v>
      </c>
      <c r="T222" s="12" t="s">
        <v>40</v>
      </c>
      <c r="U222" s="18" t="str">
        <f t="shared" ca="1" si="31"/>
        <v>34 Tahun, 8 Bulan, 16 Hari</v>
      </c>
      <c r="V222" s="86" t="s">
        <v>836</v>
      </c>
      <c r="X222" s="92"/>
      <c r="Y222" s="21"/>
      <c r="Z222" s="18"/>
      <c r="AA222" s="18"/>
    </row>
    <row r="223" spans="1:27" x14ac:dyDescent="0.35">
      <c r="A223" s="18">
        <v>4</v>
      </c>
      <c r="B223" s="15" t="s">
        <v>565</v>
      </c>
      <c r="C223" s="34" t="s">
        <v>715</v>
      </c>
      <c r="D223" s="12" t="s">
        <v>33</v>
      </c>
      <c r="E223" s="18" t="s">
        <v>1197</v>
      </c>
      <c r="F223" s="12" t="s">
        <v>752</v>
      </c>
      <c r="G223" s="21">
        <v>30734</v>
      </c>
      <c r="H223" s="16">
        <v>43160</v>
      </c>
      <c r="I223" s="18">
        <f t="shared" ca="1" si="29"/>
        <v>6</v>
      </c>
      <c r="J223" s="18">
        <f t="shared" ca="1" si="30"/>
        <v>7</v>
      </c>
      <c r="K223" s="50" t="s">
        <v>1133</v>
      </c>
      <c r="L223" s="50"/>
      <c r="M223" s="18" t="s">
        <v>179</v>
      </c>
      <c r="N223" s="83">
        <v>44652</v>
      </c>
      <c r="O223" s="18">
        <v>4</v>
      </c>
      <c r="P223" s="12">
        <v>1</v>
      </c>
      <c r="Q223" s="18" t="s">
        <v>834</v>
      </c>
      <c r="S223" s="18" t="s">
        <v>39</v>
      </c>
      <c r="T223" s="12" t="s">
        <v>40</v>
      </c>
      <c r="U223" s="18" t="str">
        <f t="shared" ca="1" si="31"/>
        <v>40 Tahun, 7 Bulan, 16 Hari</v>
      </c>
      <c r="V223" s="86" t="s">
        <v>836</v>
      </c>
      <c r="W223" s="88">
        <v>300</v>
      </c>
      <c r="X223" s="92">
        <v>45170</v>
      </c>
      <c r="Y223" s="21"/>
      <c r="Z223" s="18"/>
      <c r="AA223" s="18"/>
    </row>
    <row r="224" spans="1:27" x14ac:dyDescent="0.35">
      <c r="A224" s="18">
        <v>5</v>
      </c>
      <c r="B224" s="15" t="s">
        <v>568</v>
      </c>
      <c r="C224" s="34" t="s">
        <v>716</v>
      </c>
      <c r="D224" s="12" t="s">
        <v>33</v>
      </c>
      <c r="E224" s="18" t="s">
        <v>1199</v>
      </c>
      <c r="F224" s="12" t="s">
        <v>746</v>
      </c>
      <c r="G224" s="21">
        <v>33347</v>
      </c>
      <c r="H224" s="16">
        <v>43160</v>
      </c>
      <c r="I224" s="18">
        <f t="shared" ca="1" si="29"/>
        <v>6</v>
      </c>
      <c r="J224" s="18">
        <f t="shared" ca="1" si="30"/>
        <v>7</v>
      </c>
      <c r="K224" s="50" t="s">
        <v>1133</v>
      </c>
      <c r="L224" s="50"/>
      <c r="M224" s="18" t="s">
        <v>180</v>
      </c>
      <c r="N224" s="83">
        <v>43647</v>
      </c>
      <c r="O224" s="18">
        <v>1</v>
      </c>
      <c r="P224" s="12">
        <v>3</v>
      </c>
      <c r="Q224" s="18" t="s">
        <v>833</v>
      </c>
      <c r="S224" s="18" t="s">
        <v>39</v>
      </c>
      <c r="T224" s="12" t="s">
        <v>40</v>
      </c>
      <c r="U224" s="18" t="str">
        <f t="shared" ca="1" si="31"/>
        <v>33 Tahun, 5 Bulan, 19 Hari</v>
      </c>
      <c r="V224" s="86" t="s">
        <v>837</v>
      </c>
      <c r="W224" s="88">
        <v>150</v>
      </c>
      <c r="X224" s="92">
        <v>44896</v>
      </c>
      <c r="Y224" s="21"/>
      <c r="Z224" s="18"/>
      <c r="AA224" s="18"/>
    </row>
    <row r="225" spans="1:27" x14ac:dyDescent="0.35">
      <c r="A225" s="18">
        <v>6</v>
      </c>
      <c r="B225" s="15" t="s">
        <v>569</v>
      </c>
      <c r="C225" s="34" t="s">
        <v>717</v>
      </c>
      <c r="D225" s="12" t="s">
        <v>33</v>
      </c>
      <c r="E225" s="18" t="s">
        <v>1197</v>
      </c>
      <c r="F225" s="12" t="s">
        <v>753</v>
      </c>
      <c r="G225" s="21">
        <v>31955</v>
      </c>
      <c r="H225" s="16">
        <v>43525</v>
      </c>
      <c r="I225" s="18">
        <f t="shared" ca="1" si="29"/>
        <v>5</v>
      </c>
      <c r="J225" s="18">
        <f t="shared" ca="1" si="30"/>
        <v>7</v>
      </c>
      <c r="K225" s="50" t="s">
        <v>1133</v>
      </c>
      <c r="L225" s="50"/>
      <c r="M225" s="18" t="s">
        <v>180</v>
      </c>
      <c r="N225" s="83">
        <v>44197</v>
      </c>
      <c r="O225" s="18">
        <v>1</v>
      </c>
      <c r="P225" s="12">
        <v>10</v>
      </c>
      <c r="Q225" s="18"/>
      <c r="S225" s="18" t="s">
        <v>39</v>
      </c>
      <c r="T225" s="12" t="s">
        <v>40</v>
      </c>
      <c r="U225" s="18" t="str">
        <f t="shared" ca="1" si="31"/>
        <v>37 Tahun, 3 Bulan, 11 Hari</v>
      </c>
      <c r="V225" s="86" t="s">
        <v>836</v>
      </c>
      <c r="W225" s="81">
        <v>287.05</v>
      </c>
      <c r="X225" s="92">
        <v>45170</v>
      </c>
      <c r="Y225" s="21"/>
      <c r="Z225" s="18"/>
      <c r="AA225" s="18"/>
    </row>
    <row r="226" spans="1:27" x14ac:dyDescent="0.35">
      <c r="A226" s="18">
        <v>7</v>
      </c>
      <c r="B226" s="15" t="s">
        <v>570</v>
      </c>
      <c r="C226" s="34" t="s">
        <v>718</v>
      </c>
      <c r="D226" s="12" t="s">
        <v>33</v>
      </c>
      <c r="E226" s="18" t="s">
        <v>1197</v>
      </c>
      <c r="F226" s="12" t="s">
        <v>754</v>
      </c>
      <c r="G226" s="21">
        <v>32279</v>
      </c>
      <c r="H226" s="16">
        <v>43525</v>
      </c>
      <c r="I226" s="18">
        <f t="shared" ca="1" si="29"/>
        <v>5</v>
      </c>
      <c r="J226" s="18">
        <f t="shared" ca="1" si="30"/>
        <v>7</v>
      </c>
      <c r="K226" s="50" t="s">
        <v>1133</v>
      </c>
      <c r="L226" s="50"/>
      <c r="M226" s="18" t="s">
        <v>180</v>
      </c>
      <c r="N226" s="83">
        <v>44197</v>
      </c>
      <c r="O226" s="18">
        <v>1</v>
      </c>
      <c r="P226" s="12">
        <v>10</v>
      </c>
      <c r="Q226" s="18"/>
      <c r="S226" s="18" t="s">
        <v>39</v>
      </c>
      <c r="T226" s="12" t="s">
        <v>40</v>
      </c>
      <c r="U226" s="18" t="str">
        <f t="shared" ca="1" si="31"/>
        <v>36 Tahun, 4 Bulan, 22 Hari</v>
      </c>
      <c r="V226" s="86" t="s">
        <v>836</v>
      </c>
      <c r="W226" s="81">
        <v>372.83</v>
      </c>
      <c r="X226" s="92">
        <v>45170</v>
      </c>
      <c r="Y226" s="21"/>
      <c r="Z226" s="18"/>
      <c r="AA226" s="18"/>
    </row>
    <row r="230" spans="1:27" x14ac:dyDescent="0.35">
      <c r="A230" s="46" t="str">
        <f>A179</f>
        <v>JURUSAN : REKAYASA DAN KOMPUTER</v>
      </c>
      <c r="B230" s="36"/>
      <c r="C230" s="36"/>
      <c r="D230" s="36"/>
    </row>
    <row r="231" spans="1:27" x14ac:dyDescent="0.35">
      <c r="A231" s="36" t="s">
        <v>592</v>
      </c>
    </row>
    <row r="232" spans="1:27" s="13" customFormat="1" ht="17" customHeight="1" x14ac:dyDescent="0.35">
      <c r="A232" s="234" t="s">
        <v>13</v>
      </c>
      <c r="B232" s="272" t="s">
        <v>14</v>
      </c>
      <c r="C232" s="273" t="s">
        <v>19</v>
      </c>
      <c r="D232" s="275" t="s">
        <v>15</v>
      </c>
      <c r="E232" s="234" t="s">
        <v>18</v>
      </c>
      <c r="F232" s="235" t="s">
        <v>16</v>
      </c>
      <c r="G232" s="234" t="s">
        <v>17</v>
      </c>
      <c r="H232" s="265" t="s">
        <v>36</v>
      </c>
      <c r="I232" s="266" t="s">
        <v>30</v>
      </c>
      <c r="J232" s="267"/>
      <c r="K232" s="228" t="s">
        <v>1215</v>
      </c>
      <c r="L232" s="268" t="s">
        <v>268</v>
      </c>
      <c r="M232" s="234" t="s">
        <v>20</v>
      </c>
      <c r="N232" s="309" t="s">
        <v>21</v>
      </c>
      <c r="O232" s="270" t="s">
        <v>29</v>
      </c>
      <c r="P232" s="271"/>
      <c r="Q232" s="234" t="s">
        <v>22</v>
      </c>
      <c r="R232" s="235" t="s">
        <v>23</v>
      </c>
      <c r="S232" s="67" t="s">
        <v>31</v>
      </c>
      <c r="T232" s="260" t="s">
        <v>25</v>
      </c>
      <c r="U232" s="234" t="s">
        <v>26</v>
      </c>
      <c r="V232" s="306" t="s">
        <v>258</v>
      </c>
      <c r="W232" s="317" t="s">
        <v>838</v>
      </c>
      <c r="X232" s="306" t="s">
        <v>839</v>
      </c>
      <c r="Y232" s="306" t="s">
        <v>840</v>
      </c>
      <c r="Z232" s="308" t="s">
        <v>842</v>
      </c>
      <c r="AA232" s="308" t="s">
        <v>852</v>
      </c>
    </row>
    <row r="233" spans="1:27" s="13" customFormat="1" x14ac:dyDescent="0.35">
      <c r="A233" s="234"/>
      <c r="B233" s="272"/>
      <c r="C233" s="274"/>
      <c r="D233" s="276"/>
      <c r="E233" s="234"/>
      <c r="F233" s="235"/>
      <c r="G233" s="234"/>
      <c r="H233" s="265"/>
      <c r="I233" s="67" t="s">
        <v>3</v>
      </c>
      <c r="J233" s="68" t="s">
        <v>4</v>
      </c>
      <c r="K233" s="229"/>
      <c r="L233" s="269"/>
      <c r="M233" s="234"/>
      <c r="N233" s="260"/>
      <c r="O233" s="67" t="s">
        <v>3</v>
      </c>
      <c r="P233" s="69" t="s">
        <v>4</v>
      </c>
      <c r="Q233" s="234"/>
      <c r="R233" s="235"/>
      <c r="S233" s="67" t="s">
        <v>24</v>
      </c>
      <c r="T233" s="260"/>
      <c r="U233" s="234"/>
      <c r="V233" s="307"/>
      <c r="W233" s="318"/>
      <c r="X233" s="307"/>
      <c r="Y233" s="307"/>
      <c r="Z233" s="308"/>
      <c r="AA233" s="308"/>
    </row>
    <row r="234" spans="1:27" s="61" customFormat="1" ht="13.5" thickBot="1" x14ac:dyDescent="0.4">
      <c r="A234" s="70">
        <v>1</v>
      </c>
      <c r="B234" s="71">
        <v>2</v>
      </c>
      <c r="C234" s="72">
        <v>3</v>
      </c>
      <c r="D234" s="73">
        <v>4</v>
      </c>
      <c r="E234" s="70">
        <v>5</v>
      </c>
      <c r="F234" s="73">
        <v>6</v>
      </c>
      <c r="G234" s="70">
        <v>7</v>
      </c>
      <c r="H234" s="74">
        <v>8</v>
      </c>
      <c r="I234" s="70">
        <v>9</v>
      </c>
      <c r="J234" s="70">
        <v>10</v>
      </c>
      <c r="K234" s="70"/>
      <c r="L234" s="70">
        <v>11</v>
      </c>
      <c r="M234" s="71">
        <v>12</v>
      </c>
      <c r="N234" s="85">
        <v>13</v>
      </c>
      <c r="O234" s="71">
        <v>14</v>
      </c>
      <c r="P234" s="70">
        <v>15</v>
      </c>
      <c r="Q234" s="71">
        <v>16</v>
      </c>
      <c r="R234" s="70">
        <v>17</v>
      </c>
      <c r="S234" s="71">
        <v>18</v>
      </c>
      <c r="T234" s="70">
        <v>19</v>
      </c>
      <c r="U234" s="71">
        <v>20</v>
      </c>
      <c r="V234" s="85">
        <v>21</v>
      </c>
      <c r="W234" s="91">
        <v>22</v>
      </c>
      <c r="X234" s="85">
        <v>23</v>
      </c>
      <c r="Y234" s="74">
        <v>24</v>
      </c>
      <c r="Z234" s="70">
        <v>25</v>
      </c>
      <c r="AA234" s="70">
        <v>26</v>
      </c>
    </row>
    <row r="235" spans="1:27" ht="16" thickTop="1" x14ac:dyDescent="0.35">
      <c r="A235" s="18">
        <v>1</v>
      </c>
      <c r="B235" s="15" t="s">
        <v>584</v>
      </c>
      <c r="C235" s="34" t="s">
        <v>719</v>
      </c>
      <c r="D235" s="12" t="s">
        <v>33</v>
      </c>
      <c r="E235" s="18" t="s">
        <v>1196</v>
      </c>
      <c r="F235" s="12" t="s">
        <v>166</v>
      </c>
      <c r="G235" s="21">
        <v>33835</v>
      </c>
      <c r="H235" s="16">
        <v>43525</v>
      </c>
      <c r="I235" s="18">
        <f t="shared" ref="I235:I240" ca="1" si="32">DATEDIF(H235,$A$5,"Y")</f>
        <v>5</v>
      </c>
      <c r="J235" s="18">
        <f t="shared" ref="J235:J240" ca="1" si="33">DATEDIF(H235,$A$5,"YM")</f>
        <v>7</v>
      </c>
      <c r="K235" s="50" t="s">
        <v>1133</v>
      </c>
      <c r="L235" s="49"/>
      <c r="M235" s="18" t="s">
        <v>180</v>
      </c>
      <c r="N235" s="83">
        <v>44197</v>
      </c>
      <c r="O235" s="18">
        <v>1</v>
      </c>
      <c r="P235" s="12">
        <v>10</v>
      </c>
      <c r="Q235" s="18"/>
      <c r="S235" s="18" t="s">
        <v>39</v>
      </c>
      <c r="T235" s="12" t="s">
        <v>40</v>
      </c>
      <c r="U235" s="18" t="str">
        <f t="shared" ref="U235:U240" ca="1" si="34">DATEDIF(G235,$A$5,"Y") &amp;" Tahun, "&amp;DATEDIF(G235,$A$5,"YM") &amp;" Bulan, "&amp;DATEDIF(G235,$A$5,"MD") &amp;" Hari"</f>
        <v>32 Tahun, 1 Bulan, 19 Hari</v>
      </c>
      <c r="V235" s="86" t="s">
        <v>837</v>
      </c>
      <c r="X235" s="92"/>
      <c r="Y235" s="21"/>
      <c r="Z235" s="18"/>
      <c r="AA235" s="18"/>
    </row>
    <row r="236" spans="1:27" x14ac:dyDescent="0.35">
      <c r="A236" s="18">
        <v>2</v>
      </c>
      <c r="B236" s="15" t="s">
        <v>588</v>
      </c>
      <c r="C236" s="34" t="s">
        <v>720</v>
      </c>
      <c r="D236" s="12" t="s">
        <v>33</v>
      </c>
      <c r="E236" s="18" t="s">
        <v>1195</v>
      </c>
      <c r="F236" s="12" t="s">
        <v>35</v>
      </c>
      <c r="G236" s="21">
        <v>34031</v>
      </c>
      <c r="H236" s="16">
        <v>44621</v>
      </c>
      <c r="I236" s="18">
        <f t="shared" ca="1" si="32"/>
        <v>2</v>
      </c>
      <c r="J236" s="18">
        <f t="shared" ca="1" si="33"/>
        <v>7</v>
      </c>
      <c r="K236" s="50" t="s">
        <v>1133</v>
      </c>
      <c r="L236" s="50"/>
      <c r="M236" s="18" t="s">
        <v>180</v>
      </c>
      <c r="N236" s="83">
        <v>44621</v>
      </c>
      <c r="O236" s="18"/>
      <c r="Q236" s="18"/>
      <c r="S236" s="18" t="s">
        <v>39</v>
      </c>
      <c r="T236" s="12" t="s">
        <v>40</v>
      </c>
      <c r="U236" s="18" t="str">
        <f t="shared" ca="1" si="34"/>
        <v>31 Tahun, 7 Bulan, 5 Hari</v>
      </c>
      <c r="V236" s="86" t="s">
        <v>837</v>
      </c>
      <c r="X236" s="92"/>
      <c r="Y236" s="21"/>
      <c r="Z236" s="18"/>
      <c r="AA236" s="18" t="s">
        <v>853</v>
      </c>
    </row>
    <row r="237" spans="1:27" x14ac:dyDescent="0.35">
      <c r="A237" s="18">
        <v>3</v>
      </c>
      <c r="B237" s="15" t="s">
        <v>554</v>
      </c>
      <c r="C237" s="34" t="s">
        <v>723</v>
      </c>
      <c r="D237" s="12" t="s">
        <v>33</v>
      </c>
      <c r="E237" s="18" t="s">
        <v>130</v>
      </c>
      <c r="F237" s="12" t="s">
        <v>652</v>
      </c>
      <c r="G237" s="21">
        <v>32727</v>
      </c>
      <c r="H237" s="16">
        <v>44621</v>
      </c>
      <c r="I237" s="18">
        <f t="shared" ca="1" si="32"/>
        <v>2</v>
      </c>
      <c r="J237" s="18">
        <f t="shared" ca="1" si="33"/>
        <v>7</v>
      </c>
      <c r="K237" s="50" t="s">
        <v>1133</v>
      </c>
      <c r="L237" s="50"/>
      <c r="M237" s="18" t="s">
        <v>180</v>
      </c>
      <c r="N237" s="83">
        <v>44621</v>
      </c>
      <c r="O237" s="18">
        <v>0</v>
      </c>
      <c r="P237" s="12">
        <v>0</v>
      </c>
      <c r="Q237" s="18"/>
      <c r="S237" s="18" t="s">
        <v>220</v>
      </c>
      <c r="T237" s="12" t="s">
        <v>40</v>
      </c>
      <c r="U237" s="18" t="str">
        <f t="shared" ca="1" si="34"/>
        <v>35 Tahun, 2 Bulan, 1 Hari</v>
      </c>
      <c r="V237" s="86" t="s">
        <v>837</v>
      </c>
      <c r="W237" s="81">
        <v>150</v>
      </c>
      <c r="X237" s="92">
        <v>45170</v>
      </c>
      <c r="Y237" s="21"/>
      <c r="Z237" s="18"/>
      <c r="AA237" s="18" t="s">
        <v>853</v>
      </c>
    </row>
    <row r="238" spans="1:27" x14ac:dyDescent="0.35">
      <c r="A238" s="18">
        <v>4</v>
      </c>
      <c r="B238" s="15" t="s">
        <v>585</v>
      </c>
      <c r="C238" s="34" t="s">
        <v>721</v>
      </c>
      <c r="D238" s="12" t="s">
        <v>33</v>
      </c>
      <c r="E238" s="18" t="s">
        <v>978</v>
      </c>
      <c r="F238" s="12" t="s">
        <v>35</v>
      </c>
      <c r="G238" s="21">
        <v>33945</v>
      </c>
      <c r="H238" s="16">
        <v>43525</v>
      </c>
      <c r="I238" s="18">
        <f t="shared" ca="1" si="32"/>
        <v>5</v>
      </c>
      <c r="J238" s="18">
        <f t="shared" ca="1" si="33"/>
        <v>7</v>
      </c>
      <c r="K238" s="50" t="s">
        <v>1133</v>
      </c>
      <c r="L238" s="50"/>
      <c r="M238" s="18" t="s">
        <v>179</v>
      </c>
      <c r="N238" s="83">
        <v>45200</v>
      </c>
      <c r="O238" s="18"/>
      <c r="Q238" s="18"/>
      <c r="S238" s="18" t="s">
        <v>39</v>
      </c>
      <c r="T238" s="12" t="s">
        <v>40</v>
      </c>
      <c r="U238" s="18" t="str">
        <f t="shared" ca="1" si="34"/>
        <v>31 Tahun, 10 Bulan, 1 Hari</v>
      </c>
      <c r="V238" s="86" t="s">
        <v>836</v>
      </c>
      <c r="X238" s="92"/>
      <c r="Y238" s="21"/>
      <c r="Z238" s="18"/>
      <c r="AA238" s="18"/>
    </row>
    <row r="239" spans="1:27" x14ac:dyDescent="0.35">
      <c r="A239" s="18">
        <v>5</v>
      </c>
      <c r="B239" s="15" t="s">
        <v>579</v>
      </c>
      <c r="C239" s="34" t="s">
        <v>722</v>
      </c>
      <c r="D239" s="12" t="s">
        <v>33</v>
      </c>
      <c r="E239" s="18" t="s">
        <v>468</v>
      </c>
      <c r="F239" s="12" t="s">
        <v>755</v>
      </c>
      <c r="G239" s="21">
        <v>31149</v>
      </c>
      <c r="H239" s="16">
        <v>43525</v>
      </c>
      <c r="I239" s="18">
        <f t="shared" ca="1" si="32"/>
        <v>5</v>
      </c>
      <c r="J239" s="18">
        <f t="shared" ca="1" si="33"/>
        <v>7</v>
      </c>
      <c r="K239" s="50" t="s">
        <v>1133</v>
      </c>
      <c r="L239" s="50"/>
      <c r="M239" s="18" t="s">
        <v>179</v>
      </c>
      <c r="N239" s="83">
        <v>45017</v>
      </c>
      <c r="O239" s="18"/>
      <c r="Q239" s="18"/>
      <c r="S239" s="18" t="s">
        <v>39</v>
      </c>
      <c r="T239" s="12" t="s">
        <v>40</v>
      </c>
      <c r="U239" s="18" t="str">
        <f t="shared" ca="1" si="34"/>
        <v>39 Tahun, 5 Bulan, 26 Hari</v>
      </c>
      <c r="V239" s="86" t="s">
        <v>836</v>
      </c>
      <c r="X239" s="92"/>
      <c r="Y239" s="21"/>
      <c r="Z239" s="18"/>
      <c r="AA239" s="18"/>
    </row>
    <row r="240" spans="1:27" x14ac:dyDescent="0.35">
      <c r="A240" s="18">
        <v>6</v>
      </c>
      <c r="B240" s="15" t="s">
        <v>591</v>
      </c>
      <c r="C240" s="34" t="s">
        <v>724</v>
      </c>
      <c r="D240" s="12" t="s">
        <v>33</v>
      </c>
      <c r="E240" s="18" t="s">
        <v>1194</v>
      </c>
      <c r="F240" s="12" t="s">
        <v>756</v>
      </c>
      <c r="G240" s="21">
        <v>31871</v>
      </c>
      <c r="H240" s="16">
        <v>44621</v>
      </c>
      <c r="I240" s="18">
        <f t="shared" ca="1" si="32"/>
        <v>2</v>
      </c>
      <c r="J240" s="18">
        <f t="shared" ca="1" si="33"/>
        <v>7</v>
      </c>
      <c r="K240" s="50" t="s">
        <v>1133</v>
      </c>
      <c r="L240" s="50"/>
      <c r="M240" s="18" t="s">
        <v>180</v>
      </c>
      <c r="N240" s="83">
        <v>44621</v>
      </c>
      <c r="O240" s="18">
        <v>0</v>
      </c>
      <c r="P240" s="12">
        <v>0</v>
      </c>
      <c r="Q240" s="18"/>
      <c r="S240" s="18" t="s">
        <v>220</v>
      </c>
      <c r="T240" s="12" t="s">
        <v>40</v>
      </c>
      <c r="U240" s="18" t="str">
        <f t="shared" ca="1" si="34"/>
        <v>37 Tahun, 6 Bulan, 4 Hari</v>
      </c>
      <c r="V240" s="86" t="s">
        <v>837</v>
      </c>
      <c r="X240" s="92"/>
      <c r="Y240" s="21"/>
      <c r="Z240" s="18"/>
      <c r="AA240" s="18" t="s">
        <v>853</v>
      </c>
    </row>
  </sheetData>
  <autoFilter ref="V1:V246" xr:uid="{7CCAB222-2F25-5041-9B43-7CD47495ABD1}"/>
  <mergeCells count="340">
    <mergeCell ref="AA181:AA182"/>
    <mergeCell ref="AA196:AA197"/>
    <mergeCell ref="AA217:AA218"/>
    <mergeCell ref="AA232:AA233"/>
    <mergeCell ref="AA9:AA10"/>
    <mergeCell ref="AA32:AA33"/>
    <mergeCell ref="AA50:AA51"/>
    <mergeCell ref="AA65:AA66"/>
    <mergeCell ref="AA85:AA86"/>
    <mergeCell ref="AA101:AA102"/>
    <mergeCell ref="AA132:AA133"/>
    <mergeCell ref="AA146:AA147"/>
    <mergeCell ref="AA168:AA169"/>
    <mergeCell ref="W196:W197"/>
    <mergeCell ref="V217:V218"/>
    <mergeCell ref="W217:W218"/>
    <mergeCell ref="V232:V233"/>
    <mergeCell ref="W232:W233"/>
    <mergeCell ref="Y32:Y33"/>
    <mergeCell ref="Y50:Y51"/>
    <mergeCell ref="Y65:Y66"/>
    <mergeCell ref="Y85:Y86"/>
    <mergeCell ref="Y101:Y102"/>
    <mergeCell ref="Y132:Y133"/>
    <mergeCell ref="Y146:Y147"/>
    <mergeCell ref="Y168:Y169"/>
    <mergeCell ref="Y181:Y182"/>
    <mergeCell ref="Y196:Y197"/>
    <mergeCell ref="Y217:Y218"/>
    <mergeCell ref="Y232:Y233"/>
    <mergeCell ref="X32:X33"/>
    <mergeCell ref="X50:X51"/>
    <mergeCell ref="V146:V147"/>
    <mergeCell ref="W146:W147"/>
    <mergeCell ref="V50:V51"/>
    <mergeCell ref="W50:W51"/>
    <mergeCell ref="V65:V66"/>
    <mergeCell ref="A1:D1"/>
    <mergeCell ref="A3:B3"/>
    <mergeCell ref="A4:B4"/>
    <mergeCell ref="A5:D5"/>
    <mergeCell ref="A32:A33"/>
    <mergeCell ref="B32:B33"/>
    <mergeCell ref="C32:C33"/>
    <mergeCell ref="D32:D33"/>
    <mergeCell ref="V9:V10"/>
    <mergeCell ref="V32:V33"/>
    <mergeCell ref="U9:U10"/>
    <mergeCell ref="A9:A10"/>
    <mergeCell ref="B9:B10"/>
    <mergeCell ref="C9:C10"/>
    <mergeCell ref="D9:D10"/>
    <mergeCell ref="E9:E10"/>
    <mergeCell ref="F9:F10"/>
    <mergeCell ref="G9:G10"/>
    <mergeCell ref="H9:H10"/>
    <mergeCell ref="E32:E33"/>
    <mergeCell ref="F32:F33"/>
    <mergeCell ref="G32:G33"/>
    <mergeCell ref="H32:H33"/>
    <mergeCell ref="I32:J32"/>
    <mergeCell ref="Z32:Z33"/>
    <mergeCell ref="M32:M33"/>
    <mergeCell ref="N32:N33"/>
    <mergeCell ref="O32:P32"/>
    <mergeCell ref="Q32:Q33"/>
    <mergeCell ref="R32:R33"/>
    <mergeCell ref="T32:T33"/>
    <mergeCell ref="W32:W33"/>
    <mergeCell ref="U32:U33"/>
    <mergeCell ref="Z50:Z51"/>
    <mergeCell ref="A101:A102"/>
    <mergeCell ref="B101:B102"/>
    <mergeCell ref="C101:C102"/>
    <mergeCell ref="D101:D102"/>
    <mergeCell ref="E101:E102"/>
    <mergeCell ref="F101:F102"/>
    <mergeCell ref="G101:G102"/>
    <mergeCell ref="O50:P50"/>
    <mergeCell ref="Q50:Q51"/>
    <mergeCell ref="R50:R51"/>
    <mergeCell ref="T50:T51"/>
    <mergeCell ref="U50:U51"/>
    <mergeCell ref="G50:G51"/>
    <mergeCell ref="H50:H51"/>
    <mergeCell ref="I50:J50"/>
    <mergeCell ref="L50:L51"/>
    <mergeCell ref="M50:M51"/>
    <mergeCell ref="N50:N51"/>
    <mergeCell ref="A50:A51"/>
    <mergeCell ref="B50:B51"/>
    <mergeCell ref="Z101:Z102"/>
    <mergeCell ref="R101:R102"/>
    <mergeCell ref="T101:T102"/>
    <mergeCell ref="X101:X102"/>
    <mergeCell ref="H101:H102"/>
    <mergeCell ref="I101:J101"/>
    <mergeCell ref="L101:L102"/>
    <mergeCell ref="M101:M102"/>
    <mergeCell ref="N101:N102"/>
    <mergeCell ref="O101:P101"/>
    <mergeCell ref="V101:V102"/>
    <mergeCell ref="W101:W102"/>
    <mergeCell ref="Q101:Q102"/>
    <mergeCell ref="X132:X133"/>
    <mergeCell ref="Z132:Z133"/>
    <mergeCell ref="I132:J132"/>
    <mergeCell ref="L132:L133"/>
    <mergeCell ref="M132:M133"/>
    <mergeCell ref="N132:N133"/>
    <mergeCell ref="O132:P132"/>
    <mergeCell ref="Q132:Q133"/>
    <mergeCell ref="V132:V133"/>
    <mergeCell ref="W132:W133"/>
    <mergeCell ref="X146:X147"/>
    <mergeCell ref="Z146:Z147"/>
    <mergeCell ref="L146:L147"/>
    <mergeCell ref="M146:M147"/>
    <mergeCell ref="N146:N147"/>
    <mergeCell ref="O146:P146"/>
    <mergeCell ref="Q146:Q147"/>
    <mergeCell ref="R146:R147"/>
    <mergeCell ref="A146:A147"/>
    <mergeCell ref="B146:B147"/>
    <mergeCell ref="C146:C147"/>
    <mergeCell ref="D146:D147"/>
    <mergeCell ref="E146:E147"/>
    <mergeCell ref="F146:F147"/>
    <mergeCell ref="G146:G147"/>
    <mergeCell ref="H146:H147"/>
    <mergeCell ref="I146:J146"/>
    <mergeCell ref="A65:A66"/>
    <mergeCell ref="B65:B66"/>
    <mergeCell ref="C65:C66"/>
    <mergeCell ref="D65:D66"/>
    <mergeCell ref="E65:E66"/>
    <mergeCell ref="F65:F66"/>
    <mergeCell ref="G65:G66"/>
    <mergeCell ref="T146:T147"/>
    <mergeCell ref="U146:U147"/>
    <mergeCell ref="R132:R133"/>
    <mergeCell ref="T132:T133"/>
    <mergeCell ref="U132:U133"/>
    <mergeCell ref="U101:U102"/>
    <mergeCell ref="A132:A133"/>
    <mergeCell ref="B132:B133"/>
    <mergeCell ref="C132:C133"/>
    <mergeCell ref="D132:D133"/>
    <mergeCell ref="E132:E133"/>
    <mergeCell ref="F132:F133"/>
    <mergeCell ref="G132:G133"/>
    <mergeCell ref="H132:H133"/>
    <mergeCell ref="C85:C86"/>
    <mergeCell ref="D85:D86"/>
    <mergeCell ref="E85:E86"/>
    <mergeCell ref="L32:L33"/>
    <mergeCell ref="R9:R10"/>
    <mergeCell ref="T9:T10"/>
    <mergeCell ref="U196:U197"/>
    <mergeCell ref="H196:H197"/>
    <mergeCell ref="I196:J196"/>
    <mergeCell ref="L196:L197"/>
    <mergeCell ref="M196:M197"/>
    <mergeCell ref="N196:N197"/>
    <mergeCell ref="O196:P196"/>
    <mergeCell ref="Q181:Q182"/>
    <mergeCell ref="R181:R182"/>
    <mergeCell ref="T181:T182"/>
    <mergeCell ref="U181:U182"/>
    <mergeCell ref="H181:H182"/>
    <mergeCell ref="I181:J181"/>
    <mergeCell ref="L181:L182"/>
    <mergeCell ref="M181:M182"/>
    <mergeCell ref="H65:H66"/>
    <mergeCell ref="I65:J65"/>
    <mergeCell ref="Q168:Q169"/>
    <mergeCell ref="H168:H169"/>
    <mergeCell ref="I168:J168"/>
    <mergeCell ref="L168:L169"/>
    <mergeCell ref="X9:X10"/>
    <mergeCell ref="Z9:Z10"/>
    <mergeCell ref="I9:J9"/>
    <mergeCell ref="L9:L10"/>
    <mergeCell ref="M9:M10"/>
    <mergeCell ref="N9:N10"/>
    <mergeCell ref="O9:P9"/>
    <mergeCell ref="Q9:Q10"/>
    <mergeCell ref="W9:W10"/>
    <mergeCell ref="F85:F86"/>
    <mergeCell ref="T65:T66"/>
    <mergeCell ref="U65:U66"/>
    <mergeCell ref="F50:F51"/>
    <mergeCell ref="X65:X66"/>
    <mergeCell ref="G85:G86"/>
    <mergeCell ref="H85:H86"/>
    <mergeCell ref="I85:J85"/>
    <mergeCell ref="C50:C51"/>
    <mergeCell ref="D50:D51"/>
    <mergeCell ref="E50:E51"/>
    <mergeCell ref="Z65:Z66"/>
    <mergeCell ref="L65:L66"/>
    <mergeCell ref="M65:M66"/>
    <mergeCell ref="N65:N66"/>
    <mergeCell ref="O65:P65"/>
    <mergeCell ref="Q65:Q66"/>
    <mergeCell ref="R65:R66"/>
    <mergeCell ref="V85:V86"/>
    <mergeCell ref="W85:W86"/>
    <mergeCell ref="X85:X86"/>
    <mergeCell ref="Z85:Z86"/>
    <mergeCell ref="R85:R86"/>
    <mergeCell ref="T85:T86"/>
    <mergeCell ref="U85:U86"/>
    <mergeCell ref="O85:P85"/>
    <mergeCell ref="Q85:Q86"/>
    <mergeCell ref="L85:L86"/>
    <mergeCell ref="M85:M86"/>
    <mergeCell ref="N85:N86"/>
    <mergeCell ref="W65:W66"/>
    <mergeCell ref="A85:A86"/>
    <mergeCell ref="B85:B86"/>
    <mergeCell ref="Z196:Z197"/>
    <mergeCell ref="R217:R218"/>
    <mergeCell ref="T217:T218"/>
    <mergeCell ref="U217:U218"/>
    <mergeCell ref="A168:A169"/>
    <mergeCell ref="B168:B169"/>
    <mergeCell ref="C168:C169"/>
    <mergeCell ref="D168:D169"/>
    <mergeCell ref="E168:E169"/>
    <mergeCell ref="F168:F169"/>
    <mergeCell ref="G168:G169"/>
    <mergeCell ref="X196:X197"/>
    <mergeCell ref="X181:X182"/>
    <mergeCell ref="Z181:Z182"/>
    <mergeCell ref="N181:N182"/>
    <mergeCell ref="A181:A182"/>
    <mergeCell ref="B181:B182"/>
    <mergeCell ref="R196:R197"/>
    <mergeCell ref="T196:T197"/>
    <mergeCell ref="V168:V169"/>
    <mergeCell ref="W168:W169"/>
    <mergeCell ref="V181:V182"/>
    <mergeCell ref="W181:W182"/>
    <mergeCell ref="V196:V197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Q196:Q197"/>
    <mergeCell ref="C181:C182"/>
    <mergeCell ref="D181:D182"/>
    <mergeCell ref="E181:E182"/>
    <mergeCell ref="F181:F182"/>
    <mergeCell ref="A196:A197"/>
    <mergeCell ref="B196:B197"/>
    <mergeCell ref="C196:C197"/>
    <mergeCell ref="D196:D197"/>
    <mergeCell ref="E196:E197"/>
    <mergeCell ref="F196:F197"/>
    <mergeCell ref="G196:G197"/>
    <mergeCell ref="O181:P181"/>
    <mergeCell ref="G181:G182"/>
    <mergeCell ref="M168:M169"/>
    <mergeCell ref="N168:N169"/>
    <mergeCell ref="O168:P168"/>
    <mergeCell ref="A232:A233"/>
    <mergeCell ref="B232:B233"/>
    <mergeCell ref="C232:C233"/>
    <mergeCell ref="D232:D233"/>
    <mergeCell ref="E232:E233"/>
    <mergeCell ref="F232:F233"/>
    <mergeCell ref="G232:G233"/>
    <mergeCell ref="H232:H233"/>
    <mergeCell ref="I232:J232"/>
    <mergeCell ref="O232:P232"/>
    <mergeCell ref="K181:K182"/>
    <mergeCell ref="K196:K197"/>
    <mergeCell ref="K217:K218"/>
    <mergeCell ref="K232:K233"/>
    <mergeCell ref="Q232:Q233"/>
    <mergeCell ref="R232:R233"/>
    <mergeCell ref="Y9:Y10"/>
    <mergeCell ref="X217:X218"/>
    <mergeCell ref="Z217:Z218"/>
    <mergeCell ref="I217:J217"/>
    <mergeCell ref="L217:L218"/>
    <mergeCell ref="M217:M218"/>
    <mergeCell ref="N217:N218"/>
    <mergeCell ref="O217:P217"/>
    <mergeCell ref="Q217:Q218"/>
    <mergeCell ref="T232:T233"/>
    <mergeCell ref="U232:U233"/>
    <mergeCell ref="X232:X233"/>
    <mergeCell ref="Z232:Z233"/>
    <mergeCell ref="L232:L233"/>
    <mergeCell ref="M232:M233"/>
    <mergeCell ref="N232:N233"/>
    <mergeCell ref="Z168:Z169"/>
    <mergeCell ref="R168:R169"/>
    <mergeCell ref="T168:T169"/>
    <mergeCell ref="U168:U169"/>
    <mergeCell ref="X168:X169"/>
    <mergeCell ref="K9:K10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I117:J117"/>
    <mergeCell ref="W117:W118"/>
    <mergeCell ref="X117:X118"/>
    <mergeCell ref="Y117:Y118"/>
    <mergeCell ref="Z117:Z118"/>
    <mergeCell ref="AA117:AA118"/>
    <mergeCell ref="L117:L118"/>
    <mergeCell ref="M117:M118"/>
    <mergeCell ref="N117:N118"/>
    <mergeCell ref="O117:P117"/>
    <mergeCell ref="Q117:Q118"/>
    <mergeCell ref="R117:R118"/>
    <mergeCell ref="T117:T118"/>
    <mergeCell ref="U117:U118"/>
    <mergeCell ref="V117:V118"/>
    <mergeCell ref="K32:K33"/>
    <mergeCell ref="K50:K51"/>
    <mergeCell ref="K65:K66"/>
    <mergeCell ref="K85:K86"/>
    <mergeCell ref="K101:K102"/>
    <mergeCell ref="K117:K118"/>
    <mergeCell ref="K132:K133"/>
    <mergeCell ref="K146:K147"/>
    <mergeCell ref="K168:K169"/>
  </mergeCells>
  <phoneticPr fontId="13" type="noConversion"/>
  <pageMargins left="0.25" right="0.25" top="0.75" bottom="0.75" header="0.3" footer="0.3"/>
  <pageSetup paperSize="9" scale="13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4C37B-01A6-534A-8AE9-438711866473}">
  <sheetPr>
    <tabColor theme="5" tint="-0.499984740745262"/>
  </sheetPr>
  <dimension ref="A1:K76"/>
  <sheetViews>
    <sheetView zoomScale="110" zoomScaleNormal="110" workbookViewId="0">
      <selection activeCell="E44" sqref="E44"/>
    </sheetView>
  </sheetViews>
  <sheetFormatPr defaultColWidth="10.83203125" defaultRowHeight="26" customHeight="1" x14ac:dyDescent="0.35"/>
  <cols>
    <col min="1" max="1" width="6.6640625" style="15" customWidth="1"/>
    <col min="2" max="2" width="13.83203125" style="15" bestFit="1" customWidth="1"/>
    <col min="3" max="3" width="11.6640625" style="15" customWidth="1"/>
    <col min="4" max="4" width="14.5" style="15" bestFit="1" customWidth="1"/>
    <col min="5" max="5" width="13.5" style="15" bestFit="1" customWidth="1"/>
    <col min="6" max="6" width="13.33203125" style="15" bestFit="1" customWidth="1"/>
    <col min="7" max="16384" width="10.83203125" style="15"/>
  </cols>
  <sheetData>
    <row r="1" spans="1:11" ht="26" customHeight="1" x14ac:dyDescent="0.35">
      <c r="A1" s="15" t="s">
        <v>911</v>
      </c>
    </row>
    <row r="2" spans="1:11" ht="26" customHeight="1" x14ac:dyDescent="0.35">
      <c r="A2" s="15" t="s">
        <v>898</v>
      </c>
    </row>
    <row r="3" spans="1:11" ht="26" customHeight="1" x14ac:dyDescent="0.35">
      <c r="A3" s="15" t="str">
        <f>Administrasi!A4</f>
        <v>KEADAAN : APRIL 2024</v>
      </c>
    </row>
    <row r="4" spans="1:11" ht="26" customHeight="1" x14ac:dyDescent="0.35">
      <c r="A4" s="321">
        <f ca="1">NOW()</f>
        <v>45573.481386574073</v>
      </c>
      <c r="B4" s="321"/>
    </row>
    <row r="6" spans="1:11" ht="26" customHeight="1" x14ac:dyDescent="0.35">
      <c r="A6" s="325" t="s">
        <v>13</v>
      </c>
      <c r="B6" s="325" t="s">
        <v>31</v>
      </c>
      <c r="C6" s="325" t="s">
        <v>899</v>
      </c>
      <c r="D6" s="325"/>
      <c r="E6" s="325" t="s">
        <v>902</v>
      </c>
      <c r="F6" s="325" t="s">
        <v>903</v>
      </c>
      <c r="G6" s="325"/>
      <c r="H6" s="325"/>
      <c r="I6" s="325"/>
      <c r="J6" s="325"/>
      <c r="K6" s="325" t="s">
        <v>902</v>
      </c>
    </row>
    <row r="7" spans="1:11" ht="26" customHeight="1" x14ac:dyDescent="0.35">
      <c r="A7" s="325"/>
      <c r="B7" s="325"/>
      <c r="C7" s="94" t="s">
        <v>900</v>
      </c>
      <c r="D7" s="94" t="s">
        <v>901</v>
      </c>
      <c r="E7" s="325"/>
      <c r="F7" s="94" t="s">
        <v>138</v>
      </c>
      <c r="G7" s="94" t="s">
        <v>904</v>
      </c>
      <c r="H7" s="94" t="s">
        <v>905</v>
      </c>
      <c r="I7" s="94" t="s">
        <v>906</v>
      </c>
      <c r="J7" s="94" t="s">
        <v>907</v>
      </c>
      <c r="K7" s="325"/>
    </row>
    <row r="8" spans="1:11" ht="18" customHeight="1" thickBot="1" x14ac:dyDescent="0.4">
      <c r="A8" s="102">
        <v>1</v>
      </c>
      <c r="B8" s="102">
        <v>2</v>
      </c>
      <c r="C8" s="102">
        <v>3</v>
      </c>
      <c r="D8" s="102">
        <v>4</v>
      </c>
      <c r="E8" s="102">
        <v>5</v>
      </c>
      <c r="F8" s="102">
        <v>6</v>
      </c>
      <c r="G8" s="102">
        <v>7</v>
      </c>
      <c r="H8" s="102">
        <v>8</v>
      </c>
      <c r="I8" s="102">
        <v>9</v>
      </c>
      <c r="J8" s="102">
        <v>10</v>
      </c>
      <c r="K8" s="102">
        <v>11</v>
      </c>
    </row>
    <row r="9" spans="1:11" ht="26" customHeight="1" thickTop="1" x14ac:dyDescent="0.35">
      <c r="A9" s="322" t="s">
        <v>12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</row>
    <row r="10" spans="1:11" ht="26" customHeight="1" x14ac:dyDescent="0.35">
      <c r="A10" s="97">
        <v>1</v>
      </c>
      <c r="B10" s="97" t="s">
        <v>909</v>
      </c>
      <c r="C10" s="100">
        <f>COUNTIF(Administrasi!$S$10:$S$9975,"L")</f>
        <v>26</v>
      </c>
      <c r="D10" s="97"/>
      <c r="E10" s="97"/>
      <c r="F10" s="100">
        <f>COUNTIFS(Administrasi!$S$10:$S$9975,"L", Administrasi!$D$10:$D$9975,"&lt;&gt;D3", Administrasi!$D$10:$D$9975,"&lt;&gt;S1", Administrasi!$D$10:$D$9975,"&lt;&gt;S2", Administrasi!$D$10:$D$9975,"&lt;&gt;S3")</f>
        <v>6</v>
      </c>
      <c r="G10" s="99">
        <f>COUNTIFS(Administrasi!$S$10:$S$9975,"L", Administrasi!$D$10:$D$9975,"D3")</f>
        <v>2</v>
      </c>
      <c r="H10" s="95">
        <f>COUNTIFS(Administrasi!$S$10:$S$9975,"L", Administrasi!$D$10:$D$9975,"S1")</f>
        <v>17</v>
      </c>
      <c r="I10" s="95">
        <f>COUNTIFS(Administrasi!$S$10:$S$9975,"L", Administrasi!$D$10:$D$9975,"S2")</f>
        <v>1</v>
      </c>
      <c r="J10" s="95">
        <f>COUNTIFS(Administrasi!$S$10:$S$9975,"L", Administrasi!$D$10:$D$9975,"S3")</f>
        <v>0</v>
      </c>
      <c r="K10" s="95">
        <f>SUM(F10:J10)</f>
        <v>26</v>
      </c>
    </row>
    <row r="11" spans="1:11" ht="26" customHeight="1" x14ac:dyDescent="0.35">
      <c r="A11" s="98">
        <v>2</v>
      </c>
      <c r="B11" s="98" t="s">
        <v>908</v>
      </c>
      <c r="C11" s="98">
        <f>COUNTIF(Administrasi!$S$10:$S$9975,"P")</f>
        <v>16</v>
      </c>
      <c r="D11" s="98"/>
      <c r="E11" s="98"/>
      <c r="F11" s="98">
        <f>COUNTIFS(Administrasi!$S$10:$S$9975,"P", Administrasi!$D$10:$D$9975,"&lt;&gt;D3", Administrasi!$D$10:$D$9975,"&lt;&gt;S1", Administrasi!$D$10:$D$9975,"&lt;&gt;S2", Administrasi!$D$10:$D$9975,"&lt;&gt;S3")</f>
        <v>4</v>
      </c>
      <c r="G11" s="96">
        <f>COUNTIFS(Administrasi!$S$10:$S$9975,"P", Administrasi!$D$10:$D$9975,"D3")</f>
        <v>3</v>
      </c>
      <c r="H11" s="96">
        <f>COUNTIFS(Administrasi!$S$10:$S$9975,"P", Administrasi!$D$10:$D$9975,"S1")</f>
        <v>8</v>
      </c>
      <c r="I11" s="96">
        <f>COUNTIFS(Administrasi!$S$10:$S$9975,"P", Administrasi!$D$10:$D$9975,"S2")</f>
        <v>1</v>
      </c>
      <c r="J11" s="96">
        <f>COUNTIFS(Administrasi!$S$10:$S$9975,"P", Administrasi!$D$10:$D$9975,"S3")</f>
        <v>0</v>
      </c>
      <c r="K11" s="96">
        <f>SUM(F11:J11)</f>
        <v>16</v>
      </c>
    </row>
    <row r="12" spans="1:11" ht="26" customHeight="1" x14ac:dyDescent="0.35">
      <c r="A12" s="323" t="s">
        <v>244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24"/>
    </row>
    <row r="13" spans="1:11" ht="26" customHeight="1" x14ac:dyDescent="0.35">
      <c r="A13" s="95">
        <v>1</v>
      </c>
      <c r="B13" s="95" t="s">
        <v>909</v>
      </c>
      <c r="C13" s="99">
        <f>COUNTIF(Pustakawan!$S$10:$S$9979,"L")</f>
        <v>2</v>
      </c>
      <c r="D13" s="103"/>
      <c r="E13" s="103"/>
      <c r="F13" s="99">
        <f>COUNTIFS(Pustakawan!$S$10:$S$9979,"L", Pustakawan!$D$10:$D$9979,"&lt;&gt;D3", Pustakawan!$D$10:$D$9979,"&lt;&gt;S1", Pustakawan!$D$10:$D$9979,"&lt;&gt;S2", Pustakawan!$D$10:$D$9979,"&lt;&gt;S3")</f>
        <v>0</v>
      </c>
      <c r="G13" s="95">
        <f>COUNTIFS(Pustakawan!$S$10:$S$9979,"L", Pustakawan!$D$10:$D$9979,"D3")</f>
        <v>0</v>
      </c>
      <c r="H13" s="95">
        <f>COUNTIFS(Pustakawan!$S$10:$S$9979,"L", Pustakawan!$D$10:$D$9979,"S1")</f>
        <v>2</v>
      </c>
      <c r="I13" s="95">
        <f>COUNTIFS(Pustakawan!$S$10:$S$9979,"L", Pustakawan!$D$10:$D$9979,"S2")</f>
        <v>0</v>
      </c>
      <c r="J13" s="95">
        <f>COUNTIFS(Pustakawan!$S$10:$S$9979,"L", Pustakawan!$D$10:$D$9979,"S3")</f>
        <v>0</v>
      </c>
      <c r="K13" s="95">
        <f>SUM(F13:J13)</f>
        <v>2</v>
      </c>
    </row>
    <row r="14" spans="1:11" ht="26" customHeight="1" x14ac:dyDescent="0.35">
      <c r="A14" s="96">
        <v>2</v>
      </c>
      <c r="B14" s="96" t="s">
        <v>908</v>
      </c>
      <c r="C14" s="96">
        <f>COUNTIF(Pustakawan!$S$10:$S$9979,"P")</f>
        <v>1</v>
      </c>
      <c r="D14" s="104"/>
      <c r="E14" s="104"/>
      <c r="F14" s="96">
        <f>COUNTIFS(Pustakawan!$S$10:$S$9979,"P", Pustakawan!$D$10:$D$9979,"&lt;&gt;D3", Pustakawan!$D$10:$D$9979,"&lt;&gt;S1", Pustakawan!$D$10:$D$9979,"&lt;&gt;S2", Pustakawan!$D$10:$D$9979,"&lt;&gt;S3")</f>
        <v>0</v>
      </c>
      <c r="G14" s="96">
        <f>COUNTIFS(Pustakawan!$S$10:$S$9979,"P", Pustakawan!$D$10:$D$9979,"D3")</f>
        <v>1</v>
      </c>
      <c r="H14" s="96">
        <f>COUNTIFS(Pustakawan!$S$10:$S$9979,"P", Pustakawan!$D$10:$D$9979,"S1")</f>
        <v>0</v>
      </c>
      <c r="I14" s="96">
        <f>COUNTIFS(Pustakawan!$S$10:$S$9979,"P", Pustakawan!$D$10:$D$9979,"S2")</f>
        <v>0</v>
      </c>
      <c r="J14" s="96">
        <f>COUNTIFS(Pustakawan!$S$10:$S$9979,"P", Pustakawan!$D$10:$D$9979,"S3")</f>
        <v>0</v>
      </c>
      <c r="K14" s="96">
        <f>SUM(F14:J14)</f>
        <v>1</v>
      </c>
    </row>
    <row r="15" spans="1:11" ht="26" customHeight="1" x14ac:dyDescent="0.35">
      <c r="A15" s="323" t="s">
        <v>910</v>
      </c>
      <c r="B15" s="323"/>
      <c r="C15" s="323"/>
      <c r="D15" s="323"/>
      <c r="E15" s="323"/>
      <c r="F15" s="323"/>
      <c r="G15" s="323"/>
      <c r="H15" s="323"/>
      <c r="I15" s="323"/>
      <c r="J15" s="323"/>
      <c r="K15" s="323"/>
    </row>
    <row r="16" spans="1:11" ht="26" customHeight="1" x14ac:dyDescent="0.35">
      <c r="A16" s="95">
        <v>1</v>
      </c>
      <c r="B16" s="95" t="s">
        <v>909</v>
      </c>
      <c r="C16" s="99">
        <f>COUNTIF(Plp!$T$10:$T$9977,"L")</f>
        <v>27</v>
      </c>
      <c r="D16" s="103"/>
      <c r="E16" s="103"/>
      <c r="F16" s="99">
        <f>COUNTIFS(Plp!$T$10:$T$9977,"L", Plp!$D$10:$D$9977,"&lt;&gt;D3", Plp!$D$10:$D$9977,"&lt;&gt;S1", Plp!$D$10:$D$9977,"&lt;&gt;S2", Plp!$D$10:$D$9977,"&lt;&gt;S3")</f>
        <v>3</v>
      </c>
      <c r="G16" s="95">
        <f>COUNTIFS(Plp!$T$10:$T$9977,"L", Plp!$D$10:$D$9977,"D3")</f>
        <v>8</v>
      </c>
      <c r="H16" s="95">
        <f>COUNTIFS(Plp!$T$10:$T$9977,"L", Plp!$D$10:$D$9977,"S1")</f>
        <v>15</v>
      </c>
      <c r="I16" s="95">
        <f>COUNTIFS(Plp!$T$10:$T$9977,"L", Plp!$D$10:$D$9977,"S2")</f>
        <v>1</v>
      </c>
      <c r="J16" s="95">
        <f>COUNTIFS(Plp!$T$10:$T$9977,"L", Plp!$D$10:$D$9977,"S3")</f>
        <v>0</v>
      </c>
      <c r="K16" s="95">
        <f>SUM(F16:J16)</f>
        <v>27</v>
      </c>
    </row>
    <row r="17" spans="1:11" ht="26" customHeight="1" x14ac:dyDescent="0.35">
      <c r="A17" s="96">
        <v>2</v>
      </c>
      <c r="B17" s="96" t="s">
        <v>908</v>
      </c>
      <c r="C17" s="96">
        <f>COUNTIF(Plp!$T$10:$T$9977,"P")</f>
        <v>19</v>
      </c>
      <c r="D17" s="104"/>
      <c r="E17" s="104"/>
      <c r="F17" s="96">
        <f>COUNTIFS(Plp!$T$10:$T$9977,"P", Plp!$D$10:$D$9977,"&lt;&gt;D3", Plp!$D$10:$D$9977,"&lt;&gt;S1", Plp!$D$10:$D$9977,"&lt;&gt;S2", Plp!$D$10:$D$9977,"&lt;&gt;S3")</f>
        <v>1</v>
      </c>
      <c r="G17" s="96">
        <f>COUNTIFS(Plp!$T$10:$T$9977,"P", Plp!$D$10:$D$9977,"D3")</f>
        <v>7</v>
      </c>
      <c r="H17" s="96">
        <f>COUNTIFS(Plp!$T$10:$T$9977,"P", Plp!$D$10:$D$9977,"S1")</f>
        <v>11</v>
      </c>
      <c r="I17" s="96">
        <f>COUNTIFS(Plp!$T$10:$T$9977,"P", Plp!$D$10:$D$9977,"S2")</f>
        <v>0</v>
      </c>
      <c r="J17" s="96">
        <f>COUNTIFS(Plp!$T$10:$T$9977,"P", Plp!$D$10:$D$9977,"S3")</f>
        <v>0</v>
      </c>
      <c r="K17" s="96">
        <f>SUM(F17:J17)</f>
        <v>19</v>
      </c>
    </row>
    <row r="18" spans="1:11" ht="26" customHeight="1" x14ac:dyDescent="0.35">
      <c r="A18" s="323" t="s">
        <v>473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23"/>
    </row>
    <row r="19" spans="1:11" ht="26" customHeight="1" x14ac:dyDescent="0.35">
      <c r="A19" s="95">
        <v>1</v>
      </c>
      <c r="B19" s="95" t="s">
        <v>909</v>
      </c>
      <c r="C19" s="99">
        <f>COUNTIF(Dosen!$S$10:$S$9992,"L")</f>
        <v>77</v>
      </c>
      <c r="D19" s="103"/>
      <c r="E19" s="103"/>
      <c r="F19" s="95">
        <f>COUNTIFS(Dosen!$S$10:$S$9992,"L", Dosen!$D$10:$D$9992,"&lt;&gt;D3", Dosen!$D$10:$D$9992,"&lt;&gt;S1", Dosen!$D$10:$D$9992,"&lt;&gt;S2", Dosen!$D$10:$D$9992,"&lt;&gt;S3")</f>
        <v>0</v>
      </c>
      <c r="G19" s="95">
        <f>COUNTIFS(Dosen!$S$10:$S$9992,"L", Dosen!$D$10:$D$9992,"D3")</f>
        <v>0</v>
      </c>
      <c r="H19" s="95">
        <f>COUNTIFS(Dosen!$S$10:$S$9992,"L", Dosen!$D$10:$D$9992,"S1")</f>
        <v>0</v>
      </c>
      <c r="I19" s="95">
        <f>COUNTIFS(Dosen!$S$10:$S$9992,"L", Dosen!$D$10:$D$9992,"S2")</f>
        <v>63</v>
      </c>
      <c r="J19" s="95">
        <f>COUNTIFS(Dosen!$S$10:$S$9992,"L", Dosen!$D$10:$D$9992,"S3")</f>
        <v>14</v>
      </c>
      <c r="K19" s="95">
        <f>SUM(F19:J19)</f>
        <v>77</v>
      </c>
    </row>
    <row r="20" spans="1:11" ht="26" customHeight="1" x14ac:dyDescent="0.35">
      <c r="A20" s="96">
        <v>2</v>
      </c>
      <c r="B20" s="96" t="s">
        <v>908</v>
      </c>
      <c r="C20" s="96">
        <f>COUNTIF(Dosen!$S$10:$S$9992,"P")</f>
        <v>49</v>
      </c>
      <c r="D20" s="104"/>
      <c r="E20" s="104"/>
      <c r="F20" s="96">
        <f>COUNTIFS(Dosen!$S$10:$S$9992,"P", Dosen!$D$10:$D$9992,"&lt;&gt;D3", Dosen!$D$10:$D$9992,"&lt;&gt;S1", Dosen!$D$10:$D$9992,"&lt;&gt;S2", Dosen!$D$10:$D$9992,"&lt;&gt;S3")</f>
        <v>0</v>
      </c>
      <c r="G20" s="96">
        <f>COUNTIFS(Dosen!$S$10:$S$9992,"P", Dosen!$D$10:$D$9992,"D3")</f>
        <v>0</v>
      </c>
      <c r="H20" s="96">
        <f>COUNTIFS(Dosen!$S$10:$S$9992,"P", Dosen!$D$10:$D$9992,"S1")</f>
        <v>0</v>
      </c>
      <c r="I20" s="96">
        <f>COUNTIFS(Dosen!$S$10:$S$9992,"P", Dosen!$D$10:$D$9992,"S2")</f>
        <v>40</v>
      </c>
      <c r="J20" s="96">
        <f>COUNTIFS(Dosen!$S$10:$S$9992,"P", Dosen!$D$10:$D$9992,"S3")</f>
        <v>9</v>
      </c>
      <c r="K20" s="96">
        <f>SUM(F20:J22)</f>
        <v>49</v>
      </c>
    </row>
    <row r="21" spans="1:11" ht="26" customHeight="1" x14ac:dyDescent="0.35">
      <c r="A21" s="98"/>
      <c r="B21" s="107"/>
      <c r="C21" s="107"/>
      <c r="D21" s="108"/>
      <c r="E21" s="108"/>
      <c r="F21" s="107"/>
      <c r="G21" s="107"/>
      <c r="H21" s="107"/>
      <c r="I21" s="107"/>
      <c r="J21" s="107"/>
      <c r="K21" s="109"/>
    </row>
    <row r="22" spans="1:11" ht="26" customHeight="1" x14ac:dyDescent="0.35">
      <c r="A22" s="326" t="s">
        <v>902</v>
      </c>
      <c r="B22" s="326"/>
      <c r="C22" s="326"/>
      <c r="D22" s="326"/>
      <c r="E22" s="326"/>
      <c r="F22" s="326"/>
      <c r="G22" s="326"/>
      <c r="H22" s="326"/>
      <c r="I22" s="326"/>
      <c r="J22" s="326"/>
      <c r="K22" s="96">
        <f>SUM(K10:K11,K13:K14,K16:K17,K19:K20)</f>
        <v>217</v>
      </c>
    </row>
    <row r="26" spans="1:11" ht="26" customHeight="1" x14ac:dyDescent="0.35">
      <c r="A26" s="15" t="s">
        <v>912</v>
      </c>
    </row>
    <row r="27" spans="1:11" ht="26" customHeight="1" x14ac:dyDescent="0.35">
      <c r="A27" s="15" t="s">
        <v>898</v>
      </c>
    </row>
    <row r="28" spans="1:11" ht="26" customHeight="1" x14ac:dyDescent="0.35">
      <c r="A28" s="15" t="str">
        <f>A3</f>
        <v>KEADAAN : APRIL 2024</v>
      </c>
    </row>
    <row r="29" spans="1:11" ht="26" customHeight="1" x14ac:dyDescent="0.35">
      <c r="A29" s="321">
        <f ca="1">A4</f>
        <v>45573.481386574073</v>
      </c>
      <c r="B29" s="321"/>
    </row>
    <row r="31" spans="1:11" s="47" customFormat="1" ht="26" customHeight="1" x14ac:dyDescent="0.35">
      <c r="A31" s="94" t="s">
        <v>13</v>
      </c>
      <c r="B31" s="325" t="s">
        <v>913</v>
      </c>
      <c r="C31" s="325"/>
      <c r="D31" s="94" t="s">
        <v>915</v>
      </c>
      <c r="E31" s="94" t="s">
        <v>12</v>
      </c>
      <c r="F31" s="94" t="s">
        <v>244</v>
      </c>
      <c r="G31" s="94" t="s">
        <v>910</v>
      </c>
      <c r="H31" s="94" t="s">
        <v>473</v>
      </c>
      <c r="I31" s="94" t="s">
        <v>902</v>
      </c>
    </row>
    <row r="32" spans="1:11" s="12" customFormat="1" ht="18" customHeight="1" thickBot="1" x14ac:dyDescent="0.4">
      <c r="A32" s="102">
        <v>1</v>
      </c>
      <c r="B32" s="327">
        <v>2</v>
      </c>
      <c r="C32" s="327"/>
      <c r="D32" s="102">
        <v>3</v>
      </c>
      <c r="E32" s="102">
        <v>4</v>
      </c>
      <c r="F32" s="102">
        <v>5</v>
      </c>
      <c r="G32" s="102">
        <v>6</v>
      </c>
      <c r="H32" s="102">
        <v>7</v>
      </c>
      <c r="I32" s="102">
        <v>8</v>
      </c>
    </row>
    <row r="33" spans="1:9" ht="26" customHeight="1" thickTop="1" x14ac:dyDescent="0.35">
      <c r="A33" s="76">
        <v>1</v>
      </c>
      <c r="B33" s="319" t="s">
        <v>916</v>
      </c>
      <c r="C33" s="320"/>
      <c r="D33" s="76" t="s">
        <v>760</v>
      </c>
      <c r="E33" s="101">
        <f>COUNTIF(Administrasi!$M$10:$M$9975,"IV/c")</f>
        <v>0</v>
      </c>
      <c r="F33" s="101">
        <f>COUNTIF(Pustakawan!$M$10:$M$9979,"IV/c")</f>
        <v>0</v>
      </c>
      <c r="G33" s="76">
        <f>COUNTIF(Plp!$N$10:$N$9977,"IV/c")</f>
        <v>0</v>
      </c>
      <c r="H33" s="76">
        <f>COUNTIF(Dosen!$M$10:$M$9992,"IV/c")</f>
        <v>21</v>
      </c>
      <c r="I33" s="18">
        <f>SUM(E33:H33)</f>
        <v>21</v>
      </c>
    </row>
    <row r="34" spans="1:9" ht="26" customHeight="1" x14ac:dyDescent="0.35">
      <c r="A34" s="76">
        <v>2</v>
      </c>
      <c r="B34" s="319" t="s">
        <v>917</v>
      </c>
      <c r="C34" s="320"/>
      <c r="D34" s="76" t="s">
        <v>37</v>
      </c>
      <c r="E34" s="76">
        <f>COUNTIF(Administrasi!$M$10:$M$9975,"IV/b")</f>
        <v>1</v>
      </c>
      <c r="F34" s="76">
        <f>COUNTIF(Pustakawan!$M$10:$M$9979,"IV/b")</f>
        <v>0</v>
      </c>
      <c r="G34" s="76">
        <f>COUNTIF(Plp!$N$10:$N$9977,"IV/b")</f>
        <v>0</v>
      </c>
      <c r="H34" s="76">
        <f>COUNTIF(Dosen!$M$10:$M$9992,"IV/b")</f>
        <v>7</v>
      </c>
      <c r="I34" s="18">
        <f t="shared" ref="I34:I44" si="0">SUM(E34:H34)</f>
        <v>8</v>
      </c>
    </row>
    <row r="35" spans="1:9" ht="26" customHeight="1" x14ac:dyDescent="0.35">
      <c r="A35" s="76">
        <v>3</v>
      </c>
      <c r="B35" s="319" t="s">
        <v>918</v>
      </c>
      <c r="C35" s="320"/>
      <c r="D35" s="76" t="s">
        <v>177</v>
      </c>
      <c r="E35" s="76">
        <f>COUNTIF(Administrasi!$M$10:$M$9975,"IV/a")</f>
        <v>1</v>
      </c>
      <c r="F35" s="76">
        <f>COUNTIF(Pustakawan!$M$10:$M$9979,"IV/a")</f>
        <v>0</v>
      </c>
      <c r="G35" s="76">
        <f>COUNTIF(Plp!$N$10:$N$9977,"IV/a")</f>
        <v>2</v>
      </c>
      <c r="H35" s="76">
        <f>COUNTIF(Dosen!$M$10:$M$9992,"IV/a")</f>
        <v>14</v>
      </c>
      <c r="I35" s="18">
        <f t="shared" si="0"/>
        <v>17</v>
      </c>
    </row>
    <row r="36" spans="1:9" ht="26" customHeight="1" x14ac:dyDescent="0.35">
      <c r="A36" s="76">
        <v>4</v>
      </c>
      <c r="B36" s="319" t="s">
        <v>919</v>
      </c>
      <c r="C36" s="320"/>
      <c r="D36" s="76" t="s">
        <v>178</v>
      </c>
      <c r="E36" s="76">
        <f>COUNTIF(Administrasi!$M$10:$M$9975,"III/d")</f>
        <v>14</v>
      </c>
      <c r="F36" s="76">
        <f>COUNTIF(Pustakawan!$M$10:$M$9979,"III/d")</f>
        <v>2</v>
      </c>
      <c r="G36" s="76">
        <f>COUNTIF(Plp!$N$10:$N$9977,"III/d")</f>
        <v>23</v>
      </c>
      <c r="H36" s="76">
        <f>COUNTIF(Dosen!$M$10:$M$9992,"III/d")</f>
        <v>20</v>
      </c>
      <c r="I36" s="18">
        <f t="shared" si="0"/>
        <v>59</v>
      </c>
    </row>
    <row r="37" spans="1:9" ht="26" customHeight="1" x14ac:dyDescent="0.35">
      <c r="A37" s="76">
        <v>5</v>
      </c>
      <c r="B37" s="319" t="s">
        <v>920</v>
      </c>
      <c r="C37" s="320"/>
      <c r="D37" s="76" t="s">
        <v>179</v>
      </c>
      <c r="E37" s="76">
        <f>COUNTIF(Administrasi!$M$10:$M$9975,"III/c")</f>
        <v>9</v>
      </c>
      <c r="F37" s="76">
        <f>COUNTIF(Pustakawan!$M$10:$M$9979,"III/c")</f>
        <v>0</v>
      </c>
      <c r="G37" s="76">
        <f>COUNTIF(Plp!$N$10:$N$9977,"III/c")</f>
        <v>3</v>
      </c>
      <c r="H37" s="76">
        <f>COUNTIF(Dosen!$M$10:$M$9992,"III/c")</f>
        <v>15</v>
      </c>
      <c r="I37" s="18">
        <f t="shared" si="0"/>
        <v>27</v>
      </c>
    </row>
    <row r="38" spans="1:9" ht="26" customHeight="1" x14ac:dyDescent="0.35">
      <c r="A38" s="76">
        <v>6</v>
      </c>
      <c r="B38" s="319" t="s">
        <v>921</v>
      </c>
      <c r="C38" s="320"/>
      <c r="D38" s="76" t="s">
        <v>180</v>
      </c>
      <c r="E38" s="76">
        <f>COUNTIF(Administrasi!$M$10:$M$9975,"III/b")</f>
        <v>11</v>
      </c>
      <c r="F38" s="76">
        <f>COUNTIF(Pustakawan!$M$10:$M$9979,"III/b")</f>
        <v>0</v>
      </c>
      <c r="G38" s="76">
        <f>COUNTIF(Plp!$N$10:$N$9977,"III/b")</f>
        <v>11</v>
      </c>
      <c r="H38" s="76">
        <f>COUNTIF(Dosen!$M$10:$M$9992,"III/b")</f>
        <v>43</v>
      </c>
      <c r="I38" s="18">
        <f t="shared" si="0"/>
        <v>65</v>
      </c>
    </row>
    <row r="39" spans="1:9" ht="26" customHeight="1" x14ac:dyDescent="0.35">
      <c r="A39" s="76">
        <v>7</v>
      </c>
      <c r="B39" s="319" t="s">
        <v>922</v>
      </c>
      <c r="C39" s="320"/>
      <c r="D39" s="76" t="s">
        <v>181</v>
      </c>
      <c r="E39" s="76">
        <f>COUNTIF(Administrasi!$M$10:$M$9975,"III/a")</f>
        <v>2</v>
      </c>
      <c r="F39" s="76">
        <f>COUNTIF(Pustakawan!$M$10:$M$9979,"III/a")</f>
        <v>1</v>
      </c>
      <c r="G39" s="76">
        <f>COUNTIF(Plp!$N$10:$N$9977,"III/a")</f>
        <v>7</v>
      </c>
      <c r="H39" s="76">
        <f>COUNTIF(Dosen!$M$10:$M$9992,"III/a")</f>
        <v>0</v>
      </c>
      <c r="I39" s="18">
        <f t="shared" si="0"/>
        <v>10</v>
      </c>
    </row>
    <row r="40" spans="1:9" ht="26" customHeight="1" x14ac:dyDescent="0.35">
      <c r="A40" s="76">
        <v>8</v>
      </c>
      <c r="B40" s="319" t="s">
        <v>923</v>
      </c>
      <c r="C40" s="320"/>
      <c r="D40" s="76" t="s">
        <v>928</v>
      </c>
      <c r="E40" s="76">
        <f>COUNTIF(Administrasi!$M$10:$M$9975,"II/d")</f>
        <v>0</v>
      </c>
      <c r="F40" s="76">
        <f>COUNTIF(Pustakawan!$M$10:$M$9979,"II/d")</f>
        <v>0</v>
      </c>
      <c r="G40" s="76">
        <f>COUNTIF(Plp!$N$10:$N$9977,"II/d")</f>
        <v>0</v>
      </c>
      <c r="H40" s="76">
        <f>COUNTIF(Dosen!$M$10:$M$9992,"II/d")</f>
        <v>0</v>
      </c>
      <c r="I40" s="18">
        <f t="shared" si="0"/>
        <v>0</v>
      </c>
    </row>
    <row r="41" spans="1:9" ht="26" customHeight="1" x14ac:dyDescent="0.35">
      <c r="A41" s="76">
        <v>9</v>
      </c>
      <c r="B41" s="319" t="s">
        <v>924</v>
      </c>
      <c r="C41" s="320"/>
      <c r="D41" s="76" t="s">
        <v>182</v>
      </c>
      <c r="E41" s="76">
        <f>COUNTIF(Administrasi!$M$10:$M$9975,"II/c")</f>
        <v>3</v>
      </c>
      <c r="F41" s="76">
        <f>COUNTIF(Pustakawan!$M$10:$M$9979,"II/c")</f>
        <v>0</v>
      </c>
      <c r="G41" s="76">
        <f>COUNTIF(Plp!$N$10:$N$9977,"II/c")</f>
        <v>0</v>
      </c>
      <c r="H41" s="76">
        <f>COUNTIF(Dosen!$M$10:$M$9992,"II/c")</f>
        <v>0</v>
      </c>
      <c r="I41" s="18">
        <f t="shared" si="0"/>
        <v>3</v>
      </c>
    </row>
    <row r="42" spans="1:9" ht="26" customHeight="1" x14ac:dyDescent="0.35">
      <c r="A42" s="76">
        <v>10</v>
      </c>
      <c r="B42" s="319" t="s">
        <v>925</v>
      </c>
      <c r="C42" s="320"/>
      <c r="D42" s="76" t="s">
        <v>929</v>
      </c>
      <c r="E42" s="76">
        <f>COUNTIF(Administrasi!$M$10:$M$9975,"II/b")</f>
        <v>0</v>
      </c>
      <c r="F42" s="76">
        <f>COUNTIF(Pustakawan!$M$10:$M$9979,"II/b")</f>
        <v>0</v>
      </c>
      <c r="G42" s="76">
        <f>COUNTIF(Plp!$N$10:$N$9977,"II/b")</f>
        <v>0</v>
      </c>
      <c r="H42" s="76">
        <f>COUNTIF(Dosen!$M$10:$M$9992,"II/b")</f>
        <v>0</v>
      </c>
      <c r="I42" s="18">
        <f t="shared" si="0"/>
        <v>0</v>
      </c>
    </row>
    <row r="43" spans="1:9" ht="26" customHeight="1" x14ac:dyDescent="0.35">
      <c r="A43" s="76">
        <v>11</v>
      </c>
      <c r="B43" s="319" t="s">
        <v>926</v>
      </c>
      <c r="C43" s="320"/>
      <c r="D43" s="76" t="s">
        <v>930</v>
      </c>
      <c r="E43" s="76">
        <f>COUNTIF(Administrasi!$M$10:$M$9975,"II/a")</f>
        <v>0</v>
      </c>
      <c r="F43" s="76">
        <f>COUNTIF(Pustakawan!$M$10:$M$9979,"II/a")</f>
        <v>0</v>
      </c>
      <c r="G43" s="76">
        <f>COUNTIF(Plp!$N$10:$N$9977,"II/a")</f>
        <v>0</v>
      </c>
      <c r="H43" s="76">
        <f>COUNTIF(Dosen!$M$10:$M$9992,"II/a")</f>
        <v>0</v>
      </c>
      <c r="I43" s="18">
        <f t="shared" si="0"/>
        <v>0</v>
      </c>
    </row>
    <row r="44" spans="1:9" ht="26" customHeight="1" x14ac:dyDescent="0.35">
      <c r="A44" s="98">
        <v>12</v>
      </c>
      <c r="B44" s="335" t="s">
        <v>927</v>
      </c>
      <c r="C44" s="336"/>
      <c r="D44" s="98" t="s">
        <v>761</v>
      </c>
      <c r="E44" s="98">
        <f>COUNTIF(Administrasi!$M$10:$M$9975,"X")</f>
        <v>0</v>
      </c>
      <c r="F44" s="98">
        <f>COUNTIF(Pustakawan!$M$10:$M$9979,"X")</f>
        <v>0</v>
      </c>
      <c r="G44" s="98">
        <f>COUNTIF(Plp!$N$10:$N$9977,"X")</f>
        <v>0</v>
      </c>
      <c r="H44" s="98">
        <f>COUNTIF(Dosen!$M$10:$M$9992,"X")</f>
        <v>6</v>
      </c>
      <c r="I44" s="96">
        <f t="shared" si="0"/>
        <v>6</v>
      </c>
    </row>
    <row r="45" spans="1:9" ht="26" customHeight="1" x14ac:dyDescent="0.35">
      <c r="A45" s="326" t="s">
        <v>902</v>
      </c>
      <c r="B45" s="175"/>
      <c r="C45" s="175"/>
      <c r="D45" s="175"/>
      <c r="E45" s="96">
        <f>SUM(E33:E44)</f>
        <v>41</v>
      </c>
      <c r="F45" s="96">
        <f>SUM(F33:F44)</f>
        <v>3</v>
      </c>
      <c r="G45" s="96">
        <f>SUM(G33:G44)</f>
        <v>46</v>
      </c>
      <c r="H45" s="96">
        <f>SUM(H33:H44)</f>
        <v>126</v>
      </c>
      <c r="I45" s="96">
        <f>SUM(I33:I44)</f>
        <v>216</v>
      </c>
    </row>
    <row r="49" spans="1:10" ht="26" customHeight="1" x14ac:dyDescent="0.35">
      <c r="A49" s="15" t="s">
        <v>931</v>
      </c>
    </row>
    <row r="50" spans="1:10" ht="26" customHeight="1" x14ac:dyDescent="0.35">
      <c r="A50" s="15" t="str">
        <f>A2</f>
        <v>Politeknik Pertanian Negeri Samarinda</v>
      </c>
    </row>
    <row r="51" spans="1:10" ht="26" customHeight="1" x14ac:dyDescent="0.35">
      <c r="A51" s="15" t="str">
        <f>A28</f>
        <v>KEADAAN : APRIL 2024</v>
      </c>
    </row>
    <row r="52" spans="1:10" ht="26" customHeight="1" x14ac:dyDescent="0.35">
      <c r="A52" s="321">
        <f ca="1">A29</f>
        <v>45573.481386574073</v>
      </c>
      <c r="B52" s="321"/>
    </row>
    <row r="54" spans="1:10" ht="26" customHeight="1" x14ac:dyDescent="0.35">
      <c r="A54" s="13" t="s">
        <v>910</v>
      </c>
    </row>
    <row r="55" spans="1:10" s="110" customFormat="1" ht="35" customHeight="1" x14ac:dyDescent="0.35">
      <c r="A55" s="111" t="s">
        <v>13</v>
      </c>
      <c r="B55" s="328" t="s">
        <v>31</v>
      </c>
      <c r="C55" s="328"/>
      <c r="D55" s="111" t="s">
        <v>932</v>
      </c>
      <c r="E55" s="111" t="s">
        <v>933</v>
      </c>
      <c r="F55" s="111" t="s">
        <v>934</v>
      </c>
      <c r="G55" s="111" t="s">
        <v>935</v>
      </c>
      <c r="H55" s="328" t="s">
        <v>902</v>
      </c>
      <c r="I55" s="328"/>
      <c r="J55" s="328"/>
    </row>
    <row r="56" spans="1:10" s="12" customFormat="1" ht="26" customHeight="1" x14ac:dyDescent="0.35">
      <c r="A56" s="97">
        <v>1</v>
      </c>
      <c r="B56" s="329" t="s">
        <v>909</v>
      </c>
      <c r="C56" s="330"/>
      <c r="D56" s="106">
        <f>COUNTIFS(Dosen!$S$10:$S$9992,"L", Dosen!$V$10:$V$9992,"Lektor Kepala")</f>
        <v>24</v>
      </c>
      <c r="E56" s="95">
        <f>COUNTIFS(Dosen!$S$10:$S$9992,"L", Dosen!$V$10:$V$9992,"Lektor")</f>
        <v>31</v>
      </c>
      <c r="F56" s="105">
        <f>COUNTIFS(Dosen!$S$10:$S$9992,"L", Dosen!$V$10:$V$9992,"Asisten Ahli")</f>
        <v>22</v>
      </c>
      <c r="G56" s="99">
        <f>COUNTIFS(Dosen!$S$10:$S$9992,"L", Dosen!$D$10:$D$9992,"&lt;&gt;Lektor Kepala", Dosen!$D$10:$D$9992,"&lt;&gt;Lektor", Dosen!$D$10:$D$9992,"&lt;&gt;Asisten Ahli")</f>
        <v>77</v>
      </c>
      <c r="H56" s="333">
        <f>SUM(D56:G56)</f>
        <v>154</v>
      </c>
      <c r="I56" s="333"/>
      <c r="J56" s="330"/>
    </row>
    <row r="57" spans="1:10" s="12" customFormat="1" ht="26" customHeight="1" x14ac:dyDescent="0.35">
      <c r="A57" s="98">
        <v>2</v>
      </c>
      <c r="B57" s="331" t="s">
        <v>908</v>
      </c>
      <c r="C57" s="332"/>
      <c r="D57" s="107">
        <f>COUNTIFS(Dosen!$S$10:$S$9992,"P", Dosen!$V$10:$V$9992,"Lektor Kepala")</f>
        <v>16</v>
      </c>
      <c r="E57" s="96">
        <f>COUNTIFS(Dosen!$S$10:$S$9992,"P", Dosen!$V$10:$V$9992,"Lektor")</f>
        <v>17</v>
      </c>
      <c r="F57" s="107">
        <f>COUNTIFS(Dosen!$S$10:$S$9992,"P", Dosen!$V$10:$V$9992,"Asisten Ahli")</f>
        <v>16</v>
      </c>
      <c r="G57" s="96">
        <f>COUNTIFS(Dosen!$S$10:$S$9992,"P", Dosen!$D$10:$D$9992,"&lt;&gt;Lektor Kepala", Dosen!$D$10:$D$9992,"&lt;&gt;Lektor", Dosen!$D$10:$D$9992,"&lt;&gt;Asisten Ahli")</f>
        <v>49</v>
      </c>
      <c r="H57" s="334">
        <f>SUM(D57:G57)</f>
        <v>98</v>
      </c>
      <c r="I57" s="334"/>
      <c r="J57" s="332"/>
    </row>
    <row r="58" spans="1:10" ht="26" customHeight="1" x14ac:dyDescent="0.35">
      <c r="A58" s="326" t="s">
        <v>902</v>
      </c>
      <c r="B58" s="326"/>
      <c r="C58" s="326"/>
      <c r="D58" s="326"/>
      <c r="E58" s="326"/>
      <c r="F58" s="326"/>
      <c r="G58" s="326"/>
      <c r="H58" s="175">
        <f>SUM(H56:J57)</f>
        <v>252</v>
      </c>
      <c r="I58" s="175"/>
      <c r="J58" s="175"/>
    </row>
    <row r="59" spans="1:10" ht="26" customHeight="1" x14ac:dyDescent="0.35">
      <c r="H59" s="12"/>
      <c r="I59" s="12"/>
      <c r="J59" s="12"/>
    </row>
    <row r="60" spans="1:10" ht="26" customHeight="1" x14ac:dyDescent="0.35">
      <c r="A60" s="13" t="s">
        <v>473</v>
      </c>
      <c r="H60" s="12"/>
      <c r="I60" s="12"/>
      <c r="J60" s="12"/>
    </row>
    <row r="61" spans="1:10" s="110" customFormat="1" ht="55" customHeight="1" x14ac:dyDescent="0.35">
      <c r="A61" s="111" t="s">
        <v>13</v>
      </c>
      <c r="B61" s="111" t="s">
        <v>31</v>
      </c>
      <c r="C61" s="111" t="s">
        <v>936</v>
      </c>
      <c r="D61" s="111" t="s">
        <v>937</v>
      </c>
      <c r="E61" s="111" t="s">
        <v>938</v>
      </c>
      <c r="F61" s="111" t="s">
        <v>939</v>
      </c>
      <c r="G61" s="111" t="s">
        <v>940</v>
      </c>
      <c r="H61" s="111" t="s">
        <v>941</v>
      </c>
      <c r="I61" s="111" t="s">
        <v>910</v>
      </c>
      <c r="J61" s="111" t="s">
        <v>902</v>
      </c>
    </row>
    <row r="62" spans="1:10" s="12" customFormat="1" ht="26" customHeight="1" x14ac:dyDescent="0.35">
      <c r="A62" s="97">
        <v>1</v>
      </c>
      <c r="B62" s="95" t="s">
        <v>909</v>
      </c>
      <c r="C62" s="106">
        <f>COUNTIFS(Plp!$T$10:$T$9977,"L", Plp!$X$10:$X$9977,"Madya")</f>
        <v>2</v>
      </c>
      <c r="D62" s="95">
        <f>COUNTIFS(Plp!$T$10:$T$9977,"L", Plp!$X$10:$X$9977,"Muda")</f>
        <v>8</v>
      </c>
      <c r="E62" s="105">
        <f>COUNTIFS(Plp!$T$10:$T$9977,"L", Plp!$X$10:$X$9977,"Pertama")</f>
        <v>6</v>
      </c>
      <c r="F62" s="95">
        <f>COUNTIFS(Plp!$T$10:$T$9977,"L", Plp!$X$10:$X$9977,"Penyelia")</f>
        <v>8</v>
      </c>
      <c r="G62" s="105">
        <f>COUNTIFS(Plp!$T$10:$T$9977,"L", Plp!$X$10:$X$9977,"Pelaksana Lanjutan")</f>
        <v>0</v>
      </c>
      <c r="H62" s="95">
        <f>COUNTIFS(Plp!$T$10:$T$9977,"L", Plp!$X$10:$X$9977,"Pelaksana")</f>
        <v>0</v>
      </c>
      <c r="I62" s="105">
        <f>COUNTIFS(Plp!$T$10:$T$9977,"L", Plp!$X$10:$X$9977,"PLP")</f>
        <v>0</v>
      </c>
      <c r="J62" s="95">
        <f>SUM(C62:I62)</f>
        <v>24</v>
      </c>
    </row>
    <row r="63" spans="1:10" s="12" customFormat="1" ht="26" customHeight="1" x14ac:dyDescent="0.35">
      <c r="A63" s="98">
        <v>2</v>
      </c>
      <c r="B63" s="96" t="s">
        <v>908</v>
      </c>
      <c r="C63" s="107">
        <f>COUNTIFS(Plp!$T$10:$T$9977,"P", Plp!$X$10:$X$9977,"Madya")</f>
        <v>0</v>
      </c>
      <c r="D63" s="96">
        <f>COUNTIFS(Plp!$T$10:$T$9977,"P", Plp!$X$10:$X$9977,"Muda")</f>
        <v>6</v>
      </c>
      <c r="E63" s="107">
        <f>COUNTIFS(Plp!$T$10:$T$9977,"P", Plp!$X$10:$X$9977,"Pertama")</f>
        <v>6</v>
      </c>
      <c r="F63" s="96">
        <f>COUNTIFS(Plp!$T$10:$T$9977,"P", Plp!$X$10:$X$9977,"Penyelia")</f>
        <v>4</v>
      </c>
      <c r="G63" s="107">
        <f>COUNTIFS(Plp!$T$10:$T$9977,"P", Plp!$X$10:$X$9977,"Pelaksana Lanjutan")</f>
        <v>0</v>
      </c>
      <c r="H63" s="96">
        <f>COUNTIFS(Plp!$T$10:$T$9977,"P", Plp!$X$10:$X$9977,"Pelaksana")</f>
        <v>0</v>
      </c>
      <c r="I63" s="107">
        <f>COUNTIFS(Plp!$T$10:$T$9977,"P", Plp!$X$10:$X$9977,"PLP")</f>
        <v>0</v>
      </c>
      <c r="J63" s="96">
        <f>SUM(C63:I63)</f>
        <v>16</v>
      </c>
    </row>
    <row r="64" spans="1:10" ht="26" customHeight="1" x14ac:dyDescent="0.35">
      <c r="A64" s="326" t="s">
        <v>902</v>
      </c>
      <c r="B64" s="326"/>
      <c r="C64" s="326"/>
      <c r="D64" s="326"/>
      <c r="E64" s="326"/>
      <c r="F64" s="326"/>
      <c r="G64" s="326"/>
      <c r="H64" s="326"/>
      <c r="I64" s="326"/>
      <c r="J64" s="96">
        <f>SUM(J62:J63)</f>
        <v>40</v>
      </c>
    </row>
    <row r="68" spans="1:10" ht="26" customHeight="1" x14ac:dyDescent="0.35">
      <c r="A68" s="15" t="s">
        <v>1138</v>
      </c>
    </row>
    <row r="69" spans="1:10" ht="26" customHeight="1" x14ac:dyDescent="0.35">
      <c r="A69" s="15" t="s">
        <v>898</v>
      </c>
    </row>
    <row r="70" spans="1:10" ht="26" customHeight="1" x14ac:dyDescent="0.35">
      <c r="A70" s="15" t="str">
        <f>A51</f>
        <v>KEADAAN : APRIL 2024</v>
      </c>
    </row>
    <row r="71" spans="1:10" ht="26" customHeight="1" x14ac:dyDescent="0.35">
      <c r="A71" s="321">
        <f ca="1">A52</f>
        <v>45573.481386574073</v>
      </c>
      <c r="B71" s="321"/>
    </row>
    <row r="73" spans="1:10" ht="78" customHeight="1" x14ac:dyDescent="0.35">
      <c r="A73" s="111" t="s">
        <v>13</v>
      </c>
      <c r="B73" s="111" t="s">
        <v>31</v>
      </c>
      <c r="C73" s="159" t="s">
        <v>12</v>
      </c>
      <c r="D73" s="111" t="s">
        <v>473</v>
      </c>
      <c r="E73" s="111" t="s">
        <v>910</v>
      </c>
      <c r="F73" s="160" t="s">
        <v>1045</v>
      </c>
      <c r="G73" s="161" t="s">
        <v>1018</v>
      </c>
      <c r="H73" s="111" t="s">
        <v>1103</v>
      </c>
      <c r="I73" s="111" t="s">
        <v>1122</v>
      </c>
      <c r="J73" s="111" t="s">
        <v>902</v>
      </c>
    </row>
    <row r="74" spans="1:10" ht="26" customHeight="1" x14ac:dyDescent="0.35">
      <c r="A74" s="97">
        <v>1</v>
      </c>
      <c r="B74" s="95" t="s">
        <v>1139</v>
      </c>
      <c r="C74" s="106">
        <f>COUNTIFS(Honorer!$M$11:$M$27,"L")</f>
        <v>8</v>
      </c>
      <c r="D74" s="99">
        <f>COUNTIFS(Honorer!$M$28:$M$30,"L")</f>
        <v>0</v>
      </c>
      <c r="E74" s="106">
        <f>COUNTIFS(Honorer!$M$35:$M$38,"L")</f>
        <v>3</v>
      </c>
      <c r="F74" s="95">
        <f>COUNTIFS(Honorer!$M$46:$M$70,"L")</f>
        <v>6</v>
      </c>
      <c r="G74" s="105">
        <f>COUNTIFS(Honorer!$M$78:$M$94,"L")</f>
        <v>17</v>
      </c>
      <c r="H74" s="95">
        <f>COUNTIFS(Honorer!$M$102:$M$108,"L")</f>
        <v>7</v>
      </c>
      <c r="I74" s="105">
        <f>COUNTIFS(Honorer!$M$116:$M$117,"L")</f>
        <v>2</v>
      </c>
      <c r="J74" s="95">
        <f>SUM(C74:I74)</f>
        <v>43</v>
      </c>
    </row>
    <row r="75" spans="1:10" ht="26" customHeight="1" x14ac:dyDescent="0.35">
      <c r="A75" s="98">
        <v>2</v>
      </c>
      <c r="B75" s="96" t="s">
        <v>908</v>
      </c>
      <c r="C75" s="162">
        <f>COUNTIFS(Honorer!$M$11:$M$27,"P")</f>
        <v>9</v>
      </c>
      <c r="D75" s="163">
        <f>COUNTIFS(Honorer!$M$28:$M$30,"P")</f>
        <v>0</v>
      </c>
      <c r="E75" s="162">
        <f>COUNTIFS(Honorer!$M$35:$M$38,"P")</f>
        <v>1</v>
      </c>
      <c r="F75" s="96">
        <f>COUNTIFS(Honorer!$M$46:$M$70,"P")</f>
        <v>19</v>
      </c>
      <c r="G75" s="107">
        <f>COUNTIFS(Honorer!$M$78:$M$94,"P")</f>
        <v>0</v>
      </c>
      <c r="H75" s="96">
        <f>COUNTIFS(Honorer!$M$102:$M$108,"P")</f>
        <v>0</v>
      </c>
      <c r="I75" s="107">
        <f>COUNTIFS(Honorer!$M$116:$M$117,"P")</f>
        <v>0</v>
      </c>
      <c r="J75" s="96">
        <f>SUM(C75:I75)</f>
        <v>29</v>
      </c>
    </row>
    <row r="76" spans="1:10" ht="26" customHeight="1" x14ac:dyDescent="0.35">
      <c r="A76" s="326" t="s">
        <v>902</v>
      </c>
      <c r="B76" s="175"/>
      <c r="C76" s="96">
        <f>SUM(C74:C75)</f>
        <v>17</v>
      </c>
      <c r="D76" s="96">
        <f t="shared" ref="D76:I76" si="1">SUM(D74:D75)</f>
        <v>0</v>
      </c>
      <c r="E76" s="96">
        <f t="shared" si="1"/>
        <v>4</v>
      </c>
      <c r="F76" s="96">
        <f t="shared" si="1"/>
        <v>25</v>
      </c>
      <c r="G76" s="96">
        <f t="shared" si="1"/>
        <v>17</v>
      </c>
      <c r="H76" s="96">
        <f t="shared" si="1"/>
        <v>7</v>
      </c>
      <c r="I76" s="96">
        <f t="shared" si="1"/>
        <v>2</v>
      </c>
      <c r="J76" s="96">
        <f>SUM(J74:J75)</f>
        <v>72</v>
      </c>
    </row>
  </sheetData>
  <mergeCells count="40">
    <mergeCell ref="B42:C42"/>
    <mergeCell ref="B43:C43"/>
    <mergeCell ref="A76:B76"/>
    <mergeCell ref="H58:J58"/>
    <mergeCell ref="A58:G58"/>
    <mergeCell ref="A64:I64"/>
    <mergeCell ref="A52:B52"/>
    <mergeCell ref="H55:J55"/>
    <mergeCell ref="B55:C55"/>
    <mergeCell ref="B56:C56"/>
    <mergeCell ref="A71:B71"/>
    <mergeCell ref="B57:C57"/>
    <mergeCell ref="H56:J56"/>
    <mergeCell ref="H57:J57"/>
    <mergeCell ref="A45:D45"/>
    <mergeCell ref="B44:C44"/>
    <mergeCell ref="B35:C35"/>
    <mergeCell ref="B36:C36"/>
    <mergeCell ref="B37:C37"/>
    <mergeCell ref="A18:K18"/>
    <mergeCell ref="A22:J22"/>
    <mergeCell ref="A29:B29"/>
    <mergeCell ref="B32:C32"/>
    <mergeCell ref="B31:C31"/>
    <mergeCell ref="B38:C38"/>
    <mergeCell ref="B39:C39"/>
    <mergeCell ref="B40:C40"/>
    <mergeCell ref="B41:C41"/>
    <mergeCell ref="A4:B4"/>
    <mergeCell ref="A9:K9"/>
    <mergeCell ref="A12:K12"/>
    <mergeCell ref="A15:K15"/>
    <mergeCell ref="A6:A7"/>
    <mergeCell ref="B6:B7"/>
    <mergeCell ref="C6:D6"/>
    <mergeCell ref="E6:E7"/>
    <mergeCell ref="F6:J6"/>
    <mergeCell ref="K6:K7"/>
    <mergeCell ref="B33:C33"/>
    <mergeCell ref="B34:C34"/>
  </mergeCell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FD647-33F1-FE4A-95C3-DA04C78D8723}">
  <sheetPr>
    <tabColor rgb="FFDE4D81"/>
    <pageSetUpPr fitToPage="1"/>
  </sheetPr>
  <dimension ref="A1:Q127"/>
  <sheetViews>
    <sheetView topLeftCell="A19" workbookViewId="0">
      <selection activeCell="B109" sqref="B109"/>
    </sheetView>
  </sheetViews>
  <sheetFormatPr defaultColWidth="10.83203125" defaultRowHeight="15.5" x14ac:dyDescent="0.35"/>
  <cols>
    <col min="1" max="1" width="10.83203125" style="15"/>
    <col min="2" max="2" width="44.1640625" style="15" bestFit="1" customWidth="1"/>
    <col min="3" max="3" width="17.33203125" style="15" bestFit="1" customWidth="1"/>
    <col min="4" max="4" width="11.83203125" style="15" bestFit="1" customWidth="1"/>
    <col min="5" max="5" width="48.5" style="15" bestFit="1" customWidth="1"/>
    <col min="6" max="6" width="14.1640625" style="15" bestFit="1" customWidth="1"/>
    <col min="7" max="7" width="14.83203125" style="15" bestFit="1" customWidth="1"/>
    <col min="8" max="8" width="9.33203125" style="15" bestFit="1" customWidth="1"/>
    <col min="9" max="9" width="7.33203125" style="15" bestFit="1" customWidth="1"/>
    <col min="10" max="10" width="7" style="15" bestFit="1" customWidth="1"/>
    <col min="11" max="11" width="9.6640625" style="15" bestFit="1" customWidth="1"/>
    <col min="12" max="12" width="6.33203125" style="15" bestFit="1" customWidth="1"/>
    <col min="13" max="13" width="10.33203125" style="15" bestFit="1" customWidth="1"/>
    <col min="14" max="14" width="7.6640625" style="15" bestFit="1" customWidth="1"/>
    <col min="15" max="15" width="6.6640625" style="15" bestFit="1" customWidth="1"/>
    <col min="16" max="16" width="42.83203125" style="15" bestFit="1" customWidth="1"/>
    <col min="17" max="16384" width="10.83203125" style="15"/>
  </cols>
  <sheetData>
    <row r="1" spans="1:17" ht="26" x14ac:dyDescent="0.35">
      <c r="A1" s="164" t="s">
        <v>44</v>
      </c>
      <c r="B1" s="164"/>
      <c r="C1" s="164"/>
      <c r="D1" s="164"/>
    </row>
    <row r="2" spans="1:17" x14ac:dyDescent="0.35">
      <c r="A2" s="12"/>
      <c r="C2" s="33"/>
      <c r="D2" s="12"/>
    </row>
    <row r="3" spans="1:17" ht="21" x14ac:dyDescent="0.35">
      <c r="A3" s="381" t="s">
        <v>942</v>
      </c>
      <c r="B3" s="381"/>
      <c r="C3" s="59"/>
    </row>
    <row r="4" spans="1:17" x14ac:dyDescent="0.35">
      <c r="A4" s="183" t="str">
        <f>Administrasi!A4</f>
        <v>KEADAAN : APRIL 2024</v>
      </c>
      <c r="B4" s="183"/>
      <c r="C4" s="29"/>
      <c r="D4" s="13"/>
    </row>
    <row r="5" spans="1:17" x14ac:dyDescent="0.35">
      <c r="A5" s="195">
        <f ca="1">NOW()</f>
        <v>45573.481386574073</v>
      </c>
      <c r="B5" s="195"/>
      <c r="C5" s="195"/>
      <c r="D5" s="13"/>
    </row>
    <row r="6" spans="1:17" x14ac:dyDescent="0.35">
      <c r="A6" s="37"/>
      <c r="B6" s="36"/>
      <c r="C6" s="36"/>
      <c r="D6" s="36"/>
    </row>
    <row r="7" spans="1:17" x14ac:dyDescent="0.35">
      <c r="A7" s="36" t="s">
        <v>914</v>
      </c>
      <c r="C7" s="33"/>
      <c r="D7" s="12"/>
    </row>
    <row r="8" spans="1:17" s="13" customFormat="1" ht="17" customHeight="1" x14ac:dyDescent="0.35">
      <c r="A8" s="382" t="s">
        <v>13</v>
      </c>
      <c r="B8" s="376" t="s">
        <v>14</v>
      </c>
      <c r="C8" s="383" t="s">
        <v>959</v>
      </c>
      <c r="D8" s="385" t="s">
        <v>15</v>
      </c>
      <c r="E8" s="382" t="s">
        <v>18</v>
      </c>
      <c r="F8" s="376" t="s">
        <v>16</v>
      </c>
      <c r="G8" s="377" t="s">
        <v>17</v>
      </c>
      <c r="H8" s="378" t="s">
        <v>985</v>
      </c>
      <c r="I8" s="379" t="s">
        <v>986</v>
      </c>
      <c r="J8" s="380"/>
      <c r="K8" s="377" t="s">
        <v>987</v>
      </c>
      <c r="L8" s="382" t="s">
        <v>23</v>
      </c>
      <c r="M8" s="117" t="s">
        <v>31</v>
      </c>
      <c r="N8" s="399" t="s">
        <v>25</v>
      </c>
      <c r="O8" s="382" t="s">
        <v>26</v>
      </c>
      <c r="P8" s="389" t="s">
        <v>988</v>
      </c>
      <c r="Q8" s="377" t="s">
        <v>852</v>
      </c>
    </row>
    <row r="9" spans="1:17" s="13" customFormat="1" x14ac:dyDescent="0.35">
      <c r="A9" s="382"/>
      <c r="B9" s="376"/>
      <c r="C9" s="384"/>
      <c r="D9" s="386"/>
      <c r="E9" s="382"/>
      <c r="F9" s="376"/>
      <c r="G9" s="377"/>
      <c r="H9" s="378"/>
      <c r="I9" s="112" t="s">
        <v>3</v>
      </c>
      <c r="J9" s="113" t="s">
        <v>4</v>
      </c>
      <c r="K9" s="377"/>
      <c r="L9" s="382"/>
      <c r="M9" s="112" t="s">
        <v>24</v>
      </c>
      <c r="N9" s="399"/>
      <c r="O9" s="382"/>
      <c r="P9" s="390"/>
      <c r="Q9" s="377"/>
    </row>
    <row r="10" spans="1:17" s="61" customFormat="1" ht="17" customHeight="1" thickBot="1" x14ac:dyDescent="0.4">
      <c r="A10" s="114">
        <v>1</v>
      </c>
      <c r="B10" s="116">
        <v>2</v>
      </c>
      <c r="C10" s="114">
        <v>3</v>
      </c>
      <c r="D10" s="115">
        <v>4</v>
      </c>
      <c r="E10" s="114">
        <v>5</v>
      </c>
      <c r="F10" s="115">
        <v>6</v>
      </c>
      <c r="G10" s="114">
        <v>7</v>
      </c>
      <c r="H10" s="115">
        <v>8</v>
      </c>
      <c r="I10" s="114">
        <v>9</v>
      </c>
      <c r="J10" s="115">
        <v>10</v>
      </c>
      <c r="K10" s="114">
        <v>11</v>
      </c>
      <c r="L10" s="115">
        <v>12</v>
      </c>
      <c r="M10" s="114">
        <v>13</v>
      </c>
      <c r="N10" s="115">
        <v>14</v>
      </c>
      <c r="O10" s="114">
        <v>15</v>
      </c>
      <c r="P10" s="115">
        <v>16</v>
      </c>
      <c r="Q10" s="114">
        <v>17</v>
      </c>
    </row>
    <row r="11" spans="1:17" ht="16" thickTop="1" x14ac:dyDescent="0.35">
      <c r="A11" s="18">
        <v>1</v>
      </c>
      <c r="B11" s="15" t="s">
        <v>1217</v>
      </c>
      <c r="C11" s="31" t="s">
        <v>960</v>
      </c>
      <c r="D11" s="12" t="s">
        <v>126</v>
      </c>
      <c r="E11" s="78" t="s">
        <v>308</v>
      </c>
      <c r="F11" s="12" t="s">
        <v>35</v>
      </c>
      <c r="G11" s="21">
        <v>30347</v>
      </c>
      <c r="I11" s="78"/>
      <c r="K11" s="78"/>
      <c r="M11" s="18" t="s">
        <v>220</v>
      </c>
      <c r="N11" s="12" t="s">
        <v>40</v>
      </c>
      <c r="O11" s="18" t="str">
        <f ca="1">DATEDIF(G11,$A$5,"Y") &amp;","&amp;DATEDIF(G11,$A$5,"YM")</f>
        <v>41,8</v>
      </c>
      <c r="P11" s="12" t="s">
        <v>989</v>
      </c>
      <c r="Q11" s="18"/>
    </row>
    <row r="12" spans="1:17" x14ac:dyDescent="0.35">
      <c r="A12" s="18">
        <v>2</v>
      </c>
      <c r="B12" s="15" t="s">
        <v>944</v>
      </c>
      <c r="C12" s="31" t="s">
        <v>961</v>
      </c>
      <c r="D12" s="12" t="s">
        <v>126</v>
      </c>
      <c r="E12" s="78" t="s">
        <v>977</v>
      </c>
      <c r="F12" s="12" t="s">
        <v>35</v>
      </c>
      <c r="G12" s="21">
        <v>32829</v>
      </c>
      <c r="I12" s="78"/>
      <c r="K12" s="78"/>
      <c r="M12" s="18" t="s">
        <v>39</v>
      </c>
      <c r="N12" s="12" t="s">
        <v>40</v>
      </c>
      <c r="O12" s="18" t="str">
        <f t="shared" ref="O12:O27" ca="1" si="0">DATEDIF(G12,$A$5,"Y") &amp;","&amp;DATEDIF(G12,$A$5,"YM")</f>
        <v>34,10</v>
      </c>
      <c r="P12" s="12" t="s">
        <v>990</v>
      </c>
      <c r="Q12" s="18"/>
    </row>
    <row r="13" spans="1:17" x14ac:dyDescent="0.35">
      <c r="A13" s="18">
        <v>3</v>
      </c>
      <c r="B13" s="15" t="s">
        <v>943</v>
      </c>
      <c r="C13" s="31" t="s">
        <v>962</v>
      </c>
      <c r="D13" s="12" t="s">
        <v>126</v>
      </c>
      <c r="E13" s="78" t="s">
        <v>978</v>
      </c>
      <c r="F13" s="12" t="s">
        <v>35</v>
      </c>
      <c r="G13" s="21">
        <v>34942</v>
      </c>
      <c r="I13" s="78"/>
      <c r="K13" s="78"/>
      <c r="M13" s="18" t="s">
        <v>220</v>
      </c>
      <c r="N13" s="12" t="s">
        <v>40</v>
      </c>
      <c r="O13" s="18" t="str">
        <f t="shared" ca="1" si="0"/>
        <v>29,1</v>
      </c>
      <c r="P13" s="12" t="s">
        <v>991</v>
      </c>
      <c r="Q13" s="18"/>
    </row>
    <row r="14" spans="1:17" x14ac:dyDescent="0.35">
      <c r="A14" s="18">
        <v>4</v>
      </c>
      <c r="B14" s="15" t="s">
        <v>945</v>
      </c>
      <c r="C14" s="31" t="s">
        <v>963</v>
      </c>
      <c r="D14" s="12" t="s">
        <v>133</v>
      </c>
      <c r="E14" s="78" t="s">
        <v>979</v>
      </c>
      <c r="F14" s="12" t="s">
        <v>35</v>
      </c>
      <c r="G14" s="21">
        <v>34677</v>
      </c>
      <c r="I14" s="78"/>
      <c r="K14" s="78"/>
      <c r="M14" s="18" t="s">
        <v>220</v>
      </c>
      <c r="N14" s="12" t="s">
        <v>40</v>
      </c>
      <c r="O14" s="18" t="str">
        <f t="shared" ca="1" si="0"/>
        <v>29,9</v>
      </c>
      <c r="P14" s="12" t="s">
        <v>992</v>
      </c>
      <c r="Q14" s="18"/>
    </row>
    <row r="15" spans="1:17" x14ac:dyDescent="0.35">
      <c r="A15" s="18">
        <v>5</v>
      </c>
      <c r="B15" s="15" t="s">
        <v>946</v>
      </c>
      <c r="C15" s="31" t="s">
        <v>964</v>
      </c>
      <c r="D15" s="12" t="s">
        <v>126</v>
      </c>
      <c r="E15" s="78" t="s">
        <v>980</v>
      </c>
      <c r="F15" s="12" t="s">
        <v>984</v>
      </c>
      <c r="G15" s="21">
        <v>34685</v>
      </c>
      <c r="I15" s="78"/>
      <c r="K15" s="78"/>
      <c r="M15" s="18" t="s">
        <v>220</v>
      </c>
      <c r="N15" s="12" t="s">
        <v>40</v>
      </c>
      <c r="O15" s="18" t="str">
        <f t="shared" ca="1" si="0"/>
        <v>29,9</v>
      </c>
      <c r="P15" s="12" t="s">
        <v>993</v>
      </c>
      <c r="Q15" s="18"/>
    </row>
    <row r="16" spans="1:17" x14ac:dyDescent="0.35">
      <c r="A16" s="18">
        <v>6</v>
      </c>
      <c r="B16" s="15" t="s">
        <v>947</v>
      </c>
      <c r="C16" s="31" t="s">
        <v>965</v>
      </c>
      <c r="D16" s="12" t="s">
        <v>136</v>
      </c>
      <c r="E16" s="78" t="s">
        <v>981</v>
      </c>
      <c r="F16" s="12" t="s">
        <v>35</v>
      </c>
      <c r="G16" s="21">
        <v>33677</v>
      </c>
      <c r="I16" s="78"/>
      <c r="K16" s="78"/>
      <c r="M16" s="18" t="s">
        <v>220</v>
      </c>
      <c r="N16" s="12" t="s">
        <v>40</v>
      </c>
      <c r="O16" s="18" t="str">
        <f t="shared" ca="1" si="0"/>
        <v>32,6</v>
      </c>
      <c r="P16" s="12" t="s">
        <v>994</v>
      </c>
      <c r="Q16" s="18"/>
    </row>
    <row r="17" spans="1:17" x14ac:dyDescent="0.35">
      <c r="A17" s="18">
        <v>7</v>
      </c>
      <c r="B17" s="15" t="s">
        <v>948</v>
      </c>
      <c r="C17" s="31" t="s">
        <v>966</v>
      </c>
      <c r="D17" s="12" t="s">
        <v>136</v>
      </c>
      <c r="E17" s="78" t="s">
        <v>135</v>
      </c>
      <c r="F17" s="12" t="s">
        <v>35</v>
      </c>
      <c r="G17" s="21">
        <v>35378</v>
      </c>
      <c r="I17" s="78"/>
      <c r="K17" s="78"/>
      <c r="M17" s="18" t="s">
        <v>39</v>
      </c>
      <c r="N17" s="12" t="s">
        <v>219</v>
      </c>
      <c r="O17" s="18" t="str">
        <f t="shared" ca="1" si="0"/>
        <v>27,10</v>
      </c>
      <c r="P17" s="12" t="s">
        <v>995</v>
      </c>
      <c r="Q17" s="18"/>
    </row>
    <row r="18" spans="1:17" x14ac:dyDescent="0.35">
      <c r="A18" s="18">
        <v>8</v>
      </c>
      <c r="B18" s="15" t="s">
        <v>949</v>
      </c>
      <c r="C18" s="31" t="s">
        <v>967</v>
      </c>
      <c r="D18" s="12" t="s">
        <v>133</v>
      </c>
      <c r="E18" s="78" t="s">
        <v>313</v>
      </c>
      <c r="F18" s="12" t="s">
        <v>369</v>
      </c>
      <c r="G18" s="21">
        <v>35252</v>
      </c>
      <c r="I18" s="78"/>
      <c r="K18" s="78"/>
      <c r="M18" s="18" t="s">
        <v>39</v>
      </c>
      <c r="N18" s="12" t="s">
        <v>40</v>
      </c>
      <c r="O18" s="18" t="str">
        <f t="shared" ca="1" si="0"/>
        <v>28,3</v>
      </c>
      <c r="P18" s="12" t="s">
        <v>996</v>
      </c>
      <c r="Q18" s="18"/>
    </row>
    <row r="19" spans="1:17" x14ac:dyDescent="0.35">
      <c r="A19" s="18">
        <v>9</v>
      </c>
      <c r="B19" s="15" t="s">
        <v>950</v>
      </c>
      <c r="C19" s="31" t="s">
        <v>968</v>
      </c>
      <c r="D19" s="12" t="s">
        <v>133</v>
      </c>
      <c r="E19" s="78" t="s">
        <v>313</v>
      </c>
      <c r="F19" s="12" t="s">
        <v>157</v>
      </c>
      <c r="G19" s="21">
        <v>35441</v>
      </c>
      <c r="I19" s="78"/>
      <c r="K19" s="78"/>
      <c r="M19" s="18" t="s">
        <v>39</v>
      </c>
      <c r="N19" s="12" t="s">
        <v>40</v>
      </c>
      <c r="O19" s="18" t="str">
        <f t="shared" ca="1" si="0"/>
        <v>27,8</v>
      </c>
      <c r="P19" s="12" t="s">
        <v>997</v>
      </c>
      <c r="Q19" s="18"/>
    </row>
    <row r="20" spans="1:17" x14ac:dyDescent="0.35">
      <c r="A20" s="18">
        <v>10</v>
      </c>
      <c r="B20" s="15" t="s">
        <v>951</v>
      </c>
      <c r="C20" s="31" t="s">
        <v>969</v>
      </c>
      <c r="D20" s="12" t="s">
        <v>126</v>
      </c>
      <c r="E20" s="78" t="s">
        <v>978</v>
      </c>
      <c r="F20" s="12" t="s">
        <v>35</v>
      </c>
      <c r="G20" s="21">
        <v>34910</v>
      </c>
      <c r="I20" s="78"/>
      <c r="K20" s="78"/>
      <c r="M20" s="18" t="s">
        <v>220</v>
      </c>
      <c r="N20" s="12" t="s">
        <v>40</v>
      </c>
      <c r="O20" s="18" t="str">
        <f t="shared" ca="1" si="0"/>
        <v>29,2</v>
      </c>
      <c r="P20" s="12" t="s">
        <v>998</v>
      </c>
      <c r="Q20" s="18"/>
    </row>
    <row r="21" spans="1:17" x14ac:dyDescent="0.35">
      <c r="A21" s="18">
        <v>11</v>
      </c>
      <c r="B21" s="15" t="s">
        <v>952</v>
      </c>
      <c r="C21" s="31" t="s">
        <v>970</v>
      </c>
      <c r="D21" s="12" t="s">
        <v>136</v>
      </c>
      <c r="E21" s="78" t="s">
        <v>135</v>
      </c>
      <c r="F21" s="12" t="s">
        <v>35</v>
      </c>
      <c r="G21" s="21">
        <v>35433</v>
      </c>
      <c r="I21" s="78"/>
      <c r="K21" s="78"/>
      <c r="M21" s="18" t="s">
        <v>39</v>
      </c>
      <c r="N21" s="12" t="s">
        <v>40</v>
      </c>
      <c r="O21" s="18" t="str">
        <f t="shared" ca="1" si="0"/>
        <v>27,9</v>
      </c>
      <c r="P21" s="12" t="s">
        <v>999</v>
      </c>
      <c r="Q21" s="18"/>
    </row>
    <row r="22" spans="1:17" x14ac:dyDescent="0.35">
      <c r="A22" s="18">
        <v>12</v>
      </c>
      <c r="B22" s="15" t="s">
        <v>953</v>
      </c>
      <c r="C22" s="31" t="s">
        <v>971</v>
      </c>
      <c r="D22" s="12" t="s">
        <v>136</v>
      </c>
      <c r="E22" s="78" t="s">
        <v>135</v>
      </c>
      <c r="F22" s="12" t="s">
        <v>35</v>
      </c>
      <c r="G22" s="21">
        <v>35308</v>
      </c>
      <c r="I22" s="78"/>
      <c r="K22" s="78"/>
      <c r="M22" s="18" t="s">
        <v>39</v>
      </c>
      <c r="N22" s="12" t="s">
        <v>40</v>
      </c>
      <c r="O22" s="18" t="str">
        <f t="shared" ca="1" si="0"/>
        <v>28,1</v>
      </c>
      <c r="P22" s="12" t="s">
        <v>1000</v>
      </c>
      <c r="Q22" s="18"/>
    </row>
    <row r="23" spans="1:17" x14ac:dyDescent="0.35">
      <c r="A23" s="18">
        <v>13</v>
      </c>
      <c r="B23" s="15" t="s">
        <v>954</v>
      </c>
      <c r="C23" s="31" t="s">
        <v>972</v>
      </c>
      <c r="D23" s="12" t="s">
        <v>136</v>
      </c>
      <c r="E23" s="78" t="s">
        <v>135</v>
      </c>
      <c r="F23" s="12" t="s">
        <v>725</v>
      </c>
      <c r="G23" s="21">
        <v>34755</v>
      </c>
      <c r="I23" s="78"/>
      <c r="K23" s="78"/>
      <c r="M23" s="18" t="s">
        <v>39</v>
      </c>
      <c r="N23" s="12" t="s">
        <v>40</v>
      </c>
      <c r="O23" s="18" t="str">
        <f t="shared" ca="1" si="0"/>
        <v>29,7</v>
      </c>
      <c r="P23" s="12" t="s">
        <v>1001</v>
      </c>
      <c r="Q23" s="18"/>
    </row>
    <row r="24" spans="1:17" x14ac:dyDescent="0.35">
      <c r="A24" s="18">
        <v>14</v>
      </c>
      <c r="B24" s="15" t="s">
        <v>955</v>
      </c>
      <c r="C24" s="31" t="s">
        <v>973</v>
      </c>
      <c r="D24" s="12" t="s">
        <v>133</v>
      </c>
      <c r="E24" s="78" t="s">
        <v>982</v>
      </c>
      <c r="F24" s="12" t="s">
        <v>35</v>
      </c>
      <c r="G24" s="21">
        <v>34953</v>
      </c>
      <c r="I24" s="78"/>
      <c r="K24" s="78"/>
      <c r="M24" s="18" t="s">
        <v>220</v>
      </c>
      <c r="N24" s="12" t="s">
        <v>40</v>
      </c>
      <c r="O24" s="18" t="str">
        <f t="shared" ca="1" si="0"/>
        <v>29,0</v>
      </c>
      <c r="P24" s="12" t="s">
        <v>1002</v>
      </c>
      <c r="Q24" s="18"/>
    </row>
    <row r="25" spans="1:17" x14ac:dyDescent="0.35">
      <c r="A25" s="18">
        <v>15</v>
      </c>
      <c r="B25" s="15" t="s">
        <v>956</v>
      </c>
      <c r="C25" s="31" t="s">
        <v>974</v>
      </c>
      <c r="D25" s="12" t="s">
        <v>126</v>
      </c>
      <c r="E25" s="78" t="s">
        <v>983</v>
      </c>
      <c r="F25" s="12" t="s">
        <v>35</v>
      </c>
      <c r="G25" s="21">
        <v>34649</v>
      </c>
      <c r="I25" s="78"/>
      <c r="K25" s="78"/>
      <c r="M25" s="18" t="s">
        <v>39</v>
      </c>
      <c r="N25" s="12" t="s">
        <v>40</v>
      </c>
      <c r="O25" s="18" t="str">
        <f ca="1">DATEDIF(G25,$A$5,"Y") &amp;","&amp;DATEDIF(G25,$A$5,"YM")</f>
        <v>29,10</v>
      </c>
      <c r="P25" s="12" t="s">
        <v>1003</v>
      </c>
      <c r="Q25" s="18"/>
    </row>
    <row r="26" spans="1:17" x14ac:dyDescent="0.35">
      <c r="A26" s="18">
        <v>16</v>
      </c>
      <c r="B26" s="15" t="s">
        <v>957</v>
      </c>
      <c r="C26" s="31" t="s">
        <v>975</v>
      </c>
      <c r="D26" s="12" t="s">
        <v>136</v>
      </c>
      <c r="E26" s="78" t="s">
        <v>135</v>
      </c>
      <c r="F26" s="12" t="s">
        <v>35</v>
      </c>
      <c r="G26" s="21">
        <v>35210</v>
      </c>
      <c r="I26" s="78"/>
      <c r="K26" s="78"/>
      <c r="M26" s="18" t="s">
        <v>220</v>
      </c>
      <c r="N26" s="12" t="s">
        <v>40</v>
      </c>
      <c r="O26" s="18" t="str">
        <f t="shared" ca="1" si="0"/>
        <v>28,4</v>
      </c>
      <c r="P26" s="12" t="s">
        <v>1004</v>
      </c>
      <c r="Q26" s="18"/>
    </row>
    <row r="27" spans="1:17" x14ac:dyDescent="0.35">
      <c r="A27" s="96">
        <v>17</v>
      </c>
      <c r="B27" s="108" t="s">
        <v>958</v>
      </c>
      <c r="C27" s="118" t="s">
        <v>976</v>
      </c>
      <c r="D27" s="107" t="s">
        <v>133</v>
      </c>
      <c r="E27" s="104" t="s">
        <v>147</v>
      </c>
      <c r="F27" s="107" t="s">
        <v>35</v>
      </c>
      <c r="G27" s="122">
        <v>34341</v>
      </c>
      <c r="H27" s="108"/>
      <c r="I27" s="104"/>
      <c r="J27" s="108"/>
      <c r="K27" s="104"/>
      <c r="L27" s="108"/>
      <c r="M27" s="96" t="s">
        <v>220</v>
      </c>
      <c r="N27" s="107" t="s">
        <v>40</v>
      </c>
      <c r="O27" s="96" t="str">
        <f t="shared" ca="1" si="0"/>
        <v>30,9</v>
      </c>
      <c r="P27" s="107" t="s">
        <v>1005</v>
      </c>
      <c r="Q27" s="96"/>
    </row>
    <row r="31" spans="1:17" x14ac:dyDescent="0.35">
      <c r="A31" s="36" t="s">
        <v>910</v>
      </c>
      <c r="C31" s="33"/>
      <c r="D31" s="12"/>
    </row>
    <row r="32" spans="1:17" s="13" customFormat="1" ht="17" customHeight="1" x14ac:dyDescent="0.35">
      <c r="A32" s="391" t="s">
        <v>13</v>
      </c>
      <c r="B32" s="392" t="s">
        <v>14</v>
      </c>
      <c r="C32" s="393" t="s">
        <v>959</v>
      </c>
      <c r="D32" s="395" t="s">
        <v>15</v>
      </c>
      <c r="E32" s="391" t="s">
        <v>18</v>
      </c>
      <c r="F32" s="392" t="s">
        <v>16</v>
      </c>
      <c r="G32" s="397" t="s">
        <v>17</v>
      </c>
      <c r="H32" s="398" t="s">
        <v>985</v>
      </c>
      <c r="I32" s="410" t="s">
        <v>986</v>
      </c>
      <c r="J32" s="411"/>
      <c r="K32" s="397" t="s">
        <v>987</v>
      </c>
      <c r="L32" s="391" t="s">
        <v>23</v>
      </c>
      <c r="M32" s="124" t="s">
        <v>31</v>
      </c>
      <c r="N32" s="412" t="s">
        <v>25</v>
      </c>
      <c r="O32" s="391" t="s">
        <v>26</v>
      </c>
      <c r="P32" s="387" t="s">
        <v>988</v>
      </c>
      <c r="Q32" s="397" t="s">
        <v>852</v>
      </c>
    </row>
    <row r="33" spans="1:17" s="13" customFormat="1" x14ac:dyDescent="0.35">
      <c r="A33" s="391"/>
      <c r="B33" s="392"/>
      <c r="C33" s="394"/>
      <c r="D33" s="396"/>
      <c r="E33" s="391"/>
      <c r="F33" s="392"/>
      <c r="G33" s="397"/>
      <c r="H33" s="398"/>
      <c r="I33" s="123" t="s">
        <v>3</v>
      </c>
      <c r="J33" s="125" t="s">
        <v>4</v>
      </c>
      <c r="K33" s="397"/>
      <c r="L33" s="391"/>
      <c r="M33" s="123" t="s">
        <v>24</v>
      </c>
      <c r="N33" s="412"/>
      <c r="O33" s="391"/>
      <c r="P33" s="388"/>
      <c r="Q33" s="397"/>
    </row>
    <row r="34" spans="1:17" s="61" customFormat="1" ht="17" customHeight="1" thickBot="1" x14ac:dyDescent="0.4">
      <c r="A34" s="119">
        <v>1</v>
      </c>
      <c r="B34" s="120">
        <v>2</v>
      </c>
      <c r="C34" s="119">
        <v>3</v>
      </c>
      <c r="D34" s="121">
        <v>4</v>
      </c>
      <c r="E34" s="119">
        <v>5</v>
      </c>
      <c r="F34" s="121">
        <v>6</v>
      </c>
      <c r="G34" s="119">
        <v>7</v>
      </c>
      <c r="H34" s="121">
        <v>8</v>
      </c>
      <c r="I34" s="119">
        <v>9</v>
      </c>
      <c r="J34" s="121">
        <v>10</v>
      </c>
      <c r="K34" s="119">
        <v>11</v>
      </c>
      <c r="L34" s="121">
        <v>12</v>
      </c>
      <c r="M34" s="119">
        <v>13</v>
      </c>
      <c r="N34" s="121">
        <v>14</v>
      </c>
      <c r="O34" s="119">
        <v>15</v>
      </c>
      <c r="P34" s="121">
        <v>16</v>
      </c>
      <c r="Q34" s="119">
        <v>17</v>
      </c>
    </row>
    <row r="35" spans="1:17" ht="16" thickTop="1" x14ac:dyDescent="0.35">
      <c r="A35" s="18">
        <v>1</v>
      </c>
      <c r="B35" s="15" t="s">
        <v>1006</v>
      </c>
      <c r="C35" s="31" t="s">
        <v>1011</v>
      </c>
      <c r="D35" s="12" t="s">
        <v>133</v>
      </c>
      <c r="E35" s="78" t="s">
        <v>1015</v>
      </c>
      <c r="F35" s="12" t="s">
        <v>35</v>
      </c>
      <c r="G35" s="21">
        <v>33536</v>
      </c>
      <c r="I35" s="78"/>
      <c r="K35" s="78"/>
      <c r="M35" s="18" t="s">
        <v>39</v>
      </c>
      <c r="N35" s="12" t="s">
        <v>40</v>
      </c>
      <c r="O35" s="18" t="str">
        <f ca="1">DATEDIF(G35,$A$5,"Y") &amp;","&amp;DATEDIF(G35,$A$5,"YM")</f>
        <v>32,11</v>
      </c>
      <c r="P35" s="12" t="s">
        <v>1016</v>
      </c>
      <c r="Q35" s="18"/>
    </row>
    <row r="36" spans="1:17" x14ac:dyDescent="0.35">
      <c r="A36" s="18">
        <v>2</v>
      </c>
      <c r="B36" s="15" t="s">
        <v>1007</v>
      </c>
      <c r="C36" s="31" t="s">
        <v>1012</v>
      </c>
      <c r="D36" s="12" t="s">
        <v>126</v>
      </c>
      <c r="E36" s="78" t="s">
        <v>468</v>
      </c>
      <c r="F36" s="12" t="s">
        <v>171</v>
      </c>
      <c r="G36" s="21">
        <v>33814</v>
      </c>
      <c r="I36" s="78"/>
      <c r="K36" s="78"/>
      <c r="M36" s="18" t="s">
        <v>39</v>
      </c>
      <c r="N36" s="12" t="s">
        <v>40</v>
      </c>
      <c r="O36" s="18" t="str">
        <f ca="1">DATEDIF(G36,$A$5,"Y") &amp;","&amp;DATEDIF(G36,$A$5,"YM")</f>
        <v>32,2</v>
      </c>
      <c r="P36" s="12" t="s">
        <v>1017</v>
      </c>
      <c r="Q36" s="18"/>
    </row>
    <row r="37" spans="1:17" x14ac:dyDescent="0.35">
      <c r="A37" s="18">
        <v>3</v>
      </c>
      <c r="B37" s="15" t="s">
        <v>1009</v>
      </c>
      <c r="C37" s="31" t="s">
        <v>1013</v>
      </c>
      <c r="D37" s="12" t="s">
        <v>133</v>
      </c>
      <c r="E37" s="78" t="s">
        <v>1015</v>
      </c>
      <c r="F37" s="12" t="s">
        <v>35</v>
      </c>
      <c r="G37" s="21">
        <v>33612</v>
      </c>
      <c r="I37" s="78"/>
      <c r="K37" s="78"/>
      <c r="M37" s="18" t="s">
        <v>39</v>
      </c>
      <c r="N37" s="12" t="s">
        <v>40</v>
      </c>
      <c r="O37" s="18" t="str">
        <f ca="1">DATEDIF(G37,$A$5,"Y") &amp;","&amp;DATEDIF(G37,$A$5,"YM")</f>
        <v>32,8</v>
      </c>
      <c r="P37" s="12" t="s">
        <v>1016</v>
      </c>
      <c r="Q37" s="18"/>
    </row>
    <row r="38" spans="1:17" x14ac:dyDescent="0.35">
      <c r="A38" s="96">
        <v>4</v>
      </c>
      <c r="B38" s="108" t="s">
        <v>1010</v>
      </c>
      <c r="C38" s="118" t="s">
        <v>1014</v>
      </c>
      <c r="D38" s="107" t="s">
        <v>133</v>
      </c>
      <c r="E38" s="104" t="s">
        <v>1015</v>
      </c>
      <c r="F38" s="107" t="s">
        <v>636</v>
      </c>
      <c r="G38" s="122">
        <v>33084</v>
      </c>
      <c r="H38" s="108"/>
      <c r="I38" s="104"/>
      <c r="J38" s="108"/>
      <c r="K38" s="104"/>
      <c r="L38" s="108"/>
      <c r="M38" s="96" t="s">
        <v>220</v>
      </c>
      <c r="N38" s="107" t="s">
        <v>40</v>
      </c>
      <c r="O38" s="96" t="str">
        <f ca="1">DATEDIF(G38,$A$5,"Y") &amp;","&amp;DATEDIF(G38,$A$5,"YM")</f>
        <v>34,2</v>
      </c>
      <c r="P38" s="107" t="s">
        <v>1016</v>
      </c>
      <c r="Q38" s="96"/>
    </row>
    <row r="42" spans="1:17" x14ac:dyDescent="0.35">
      <c r="A42" s="36" t="s">
        <v>1045</v>
      </c>
      <c r="C42" s="33"/>
      <c r="D42" s="12"/>
    </row>
    <row r="43" spans="1:17" s="13" customFormat="1" ht="17" customHeight="1" x14ac:dyDescent="0.35">
      <c r="A43" s="363" t="s">
        <v>13</v>
      </c>
      <c r="B43" s="368" t="s">
        <v>14</v>
      </c>
      <c r="C43" s="372" t="s">
        <v>959</v>
      </c>
      <c r="D43" s="374" t="s">
        <v>15</v>
      </c>
      <c r="E43" s="363" t="s">
        <v>18</v>
      </c>
      <c r="F43" s="368" t="s">
        <v>16</v>
      </c>
      <c r="G43" s="367" t="s">
        <v>17</v>
      </c>
      <c r="H43" s="369" t="s">
        <v>985</v>
      </c>
      <c r="I43" s="370" t="s">
        <v>986</v>
      </c>
      <c r="J43" s="371"/>
      <c r="K43" s="367" t="s">
        <v>987</v>
      </c>
      <c r="L43" s="363" t="s">
        <v>23</v>
      </c>
      <c r="M43" s="133" t="s">
        <v>31</v>
      </c>
      <c r="N43" s="364" t="s">
        <v>25</v>
      </c>
      <c r="O43" s="363" t="s">
        <v>26</v>
      </c>
      <c r="P43" s="365" t="s">
        <v>988</v>
      </c>
      <c r="Q43" s="367" t="s">
        <v>852</v>
      </c>
    </row>
    <row r="44" spans="1:17" s="13" customFormat="1" x14ac:dyDescent="0.35">
      <c r="A44" s="363"/>
      <c r="B44" s="368"/>
      <c r="C44" s="373"/>
      <c r="D44" s="375"/>
      <c r="E44" s="363"/>
      <c r="F44" s="368"/>
      <c r="G44" s="367"/>
      <c r="H44" s="369"/>
      <c r="I44" s="132" t="s">
        <v>3</v>
      </c>
      <c r="J44" s="134" t="s">
        <v>4</v>
      </c>
      <c r="K44" s="367"/>
      <c r="L44" s="363"/>
      <c r="M44" s="132" t="s">
        <v>24</v>
      </c>
      <c r="N44" s="364"/>
      <c r="O44" s="363"/>
      <c r="P44" s="366"/>
      <c r="Q44" s="367"/>
    </row>
    <row r="45" spans="1:17" s="61" customFormat="1" ht="17" customHeight="1" thickBot="1" x14ac:dyDescent="0.4">
      <c r="A45" s="54">
        <v>1</v>
      </c>
      <c r="B45" s="57">
        <v>2</v>
      </c>
      <c r="C45" s="54">
        <v>3</v>
      </c>
      <c r="D45" s="55">
        <v>4</v>
      </c>
      <c r="E45" s="54">
        <v>5</v>
      </c>
      <c r="F45" s="55">
        <v>6</v>
      </c>
      <c r="G45" s="54">
        <v>7</v>
      </c>
      <c r="H45" s="55">
        <v>8</v>
      </c>
      <c r="I45" s="54">
        <v>9</v>
      </c>
      <c r="J45" s="55">
        <v>10</v>
      </c>
      <c r="K45" s="54">
        <v>11</v>
      </c>
      <c r="L45" s="55">
        <v>12</v>
      </c>
      <c r="M45" s="54">
        <v>13</v>
      </c>
      <c r="N45" s="55">
        <v>14</v>
      </c>
      <c r="O45" s="54">
        <v>15</v>
      </c>
      <c r="P45" s="55">
        <v>16</v>
      </c>
      <c r="Q45" s="54">
        <v>17</v>
      </c>
    </row>
    <row r="46" spans="1:17" ht="16" thickTop="1" x14ac:dyDescent="0.35">
      <c r="A46" s="18">
        <v>1</v>
      </c>
      <c r="B46" s="15" t="s">
        <v>1046</v>
      </c>
      <c r="C46" s="31" t="s">
        <v>1071</v>
      </c>
      <c r="D46" s="12" t="s">
        <v>1041</v>
      </c>
      <c r="E46" s="78"/>
      <c r="F46" s="12" t="s">
        <v>1096</v>
      </c>
      <c r="G46" s="21">
        <v>31697</v>
      </c>
      <c r="I46" s="78"/>
      <c r="K46" s="78"/>
      <c r="M46" s="18" t="s">
        <v>220</v>
      </c>
      <c r="N46" s="12" t="s">
        <v>40</v>
      </c>
      <c r="O46" s="18" t="str">
        <f ca="1">DATEDIF(G46,$A$5,"Y") &amp;","&amp;DATEDIF(G46,$A$5,"YM")</f>
        <v>37,11</v>
      </c>
      <c r="P46" s="12" t="s">
        <v>1102</v>
      </c>
      <c r="Q46" s="18"/>
    </row>
    <row r="47" spans="1:17" x14ac:dyDescent="0.35">
      <c r="A47" s="18">
        <v>2</v>
      </c>
      <c r="B47" s="15" t="s">
        <v>1047</v>
      </c>
      <c r="C47" s="31" t="s">
        <v>1072</v>
      </c>
      <c r="D47" s="12" t="s">
        <v>138</v>
      </c>
      <c r="E47" s="78"/>
      <c r="F47" s="12" t="s">
        <v>737</v>
      </c>
      <c r="G47" s="21">
        <v>26680</v>
      </c>
      <c r="I47" s="78"/>
      <c r="K47" s="78"/>
      <c r="M47" s="18" t="s">
        <v>220</v>
      </c>
      <c r="N47" s="12" t="s">
        <v>40</v>
      </c>
      <c r="O47" s="18" t="str">
        <f t="shared" ref="O47:O67" ca="1" si="1">DATEDIF(G47,$A$5,"Y") &amp;","&amp;DATEDIF(G47,$A$5,"YM")</f>
        <v>51,8</v>
      </c>
      <c r="P47" s="12" t="s">
        <v>1102</v>
      </c>
      <c r="Q47" s="18"/>
    </row>
    <row r="48" spans="1:17" x14ac:dyDescent="0.35">
      <c r="A48" s="18">
        <v>3</v>
      </c>
      <c r="B48" s="15" t="s">
        <v>1048</v>
      </c>
      <c r="C48" s="31" t="s">
        <v>1073</v>
      </c>
      <c r="D48" s="12" t="s">
        <v>140</v>
      </c>
      <c r="E48" s="78"/>
      <c r="F48" s="12" t="s">
        <v>35</v>
      </c>
      <c r="G48" s="21">
        <v>27480</v>
      </c>
      <c r="I48" s="78"/>
      <c r="K48" s="78"/>
      <c r="M48" s="18" t="s">
        <v>220</v>
      </c>
      <c r="N48" s="12" t="s">
        <v>40</v>
      </c>
      <c r="O48" s="18" t="str">
        <f t="shared" ca="1" si="1"/>
        <v>49,6</v>
      </c>
      <c r="P48" s="12" t="s">
        <v>1102</v>
      </c>
      <c r="Q48" s="18"/>
    </row>
    <row r="49" spans="1:17" x14ac:dyDescent="0.35">
      <c r="A49" s="18">
        <v>4</v>
      </c>
      <c r="B49" s="15" t="s">
        <v>1049</v>
      </c>
      <c r="C49" s="31" t="s">
        <v>1074</v>
      </c>
      <c r="D49" s="12" t="s">
        <v>138</v>
      </c>
      <c r="E49" s="78"/>
      <c r="F49" s="12" t="s">
        <v>35</v>
      </c>
      <c r="G49" s="21">
        <v>31564</v>
      </c>
      <c r="I49" s="78"/>
      <c r="K49" s="78"/>
      <c r="M49" s="18" t="s">
        <v>220</v>
      </c>
      <c r="N49" s="12" t="s">
        <v>40</v>
      </c>
      <c r="O49" s="18" t="str">
        <f t="shared" ca="1" si="1"/>
        <v>38,4</v>
      </c>
      <c r="P49" s="12" t="s">
        <v>1102</v>
      </c>
      <c r="Q49" s="18"/>
    </row>
    <row r="50" spans="1:17" x14ac:dyDescent="0.35">
      <c r="A50" s="18">
        <v>5</v>
      </c>
      <c r="B50" s="15" t="s">
        <v>1050</v>
      </c>
      <c r="C50" s="31" t="s">
        <v>1075</v>
      </c>
      <c r="D50" s="12" t="s">
        <v>1042</v>
      </c>
      <c r="E50" s="78"/>
      <c r="F50" s="12" t="s">
        <v>1097</v>
      </c>
      <c r="G50" s="21">
        <v>28746</v>
      </c>
      <c r="I50" s="78"/>
      <c r="K50" s="78"/>
      <c r="M50" s="18" t="s">
        <v>220</v>
      </c>
      <c r="N50" s="12" t="s">
        <v>40</v>
      </c>
      <c r="O50" s="18" t="str">
        <f t="shared" ca="1" si="1"/>
        <v>46,0</v>
      </c>
      <c r="P50" s="12" t="s">
        <v>1102</v>
      </c>
      <c r="Q50" s="18"/>
    </row>
    <row r="51" spans="1:17" x14ac:dyDescent="0.35">
      <c r="A51" s="18">
        <v>6</v>
      </c>
      <c r="B51" s="15" t="s">
        <v>1051</v>
      </c>
      <c r="C51" s="31" t="s">
        <v>1076</v>
      </c>
      <c r="D51" s="12" t="s">
        <v>140</v>
      </c>
      <c r="E51" s="78"/>
      <c r="F51" s="12" t="s">
        <v>406</v>
      </c>
      <c r="G51" s="21">
        <v>27498</v>
      </c>
      <c r="I51" s="78"/>
      <c r="K51" s="78"/>
      <c r="M51" s="18" t="s">
        <v>220</v>
      </c>
      <c r="N51" s="12" t="s">
        <v>219</v>
      </c>
      <c r="O51" s="18" t="str">
        <f t="shared" ca="1" si="1"/>
        <v>49,5</v>
      </c>
      <c r="P51" s="12" t="s">
        <v>1102</v>
      </c>
      <c r="Q51" s="18"/>
    </row>
    <row r="52" spans="1:17" x14ac:dyDescent="0.35">
      <c r="A52" s="18">
        <v>7</v>
      </c>
      <c r="B52" s="15" t="s">
        <v>1052</v>
      </c>
      <c r="C52" s="31" t="s">
        <v>1077</v>
      </c>
      <c r="D52" s="12" t="s">
        <v>1042</v>
      </c>
      <c r="E52" s="78"/>
      <c r="F52" s="12" t="s">
        <v>35</v>
      </c>
      <c r="G52" s="21">
        <v>32428</v>
      </c>
      <c r="I52" s="78"/>
      <c r="K52" s="78"/>
      <c r="M52" s="18" t="s">
        <v>220</v>
      </c>
      <c r="N52" s="12" t="s">
        <v>40</v>
      </c>
      <c r="O52" s="18" t="str">
        <f t="shared" ca="1" si="1"/>
        <v>35,11</v>
      </c>
      <c r="P52" s="12" t="s">
        <v>1102</v>
      </c>
      <c r="Q52" s="18"/>
    </row>
    <row r="53" spans="1:17" x14ac:dyDescent="0.35">
      <c r="A53" s="18">
        <v>8</v>
      </c>
      <c r="B53" s="15" t="s">
        <v>1053</v>
      </c>
      <c r="C53" s="31" t="s">
        <v>1078</v>
      </c>
      <c r="D53" s="12" t="s">
        <v>1093</v>
      </c>
      <c r="E53" s="78"/>
      <c r="F53" s="12" t="s">
        <v>153</v>
      </c>
      <c r="G53" s="21">
        <v>25277</v>
      </c>
      <c r="I53" s="78"/>
      <c r="K53" s="78"/>
      <c r="M53" s="18" t="s">
        <v>39</v>
      </c>
      <c r="N53" s="12" t="s">
        <v>40</v>
      </c>
      <c r="O53" s="18" t="str">
        <f t="shared" ca="1" si="1"/>
        <v>55,6</v>
      </c>
      <c r="P53" s="12" t="s">
        <v>1102</v>
      </c>
      <c r="Q53" s="18"/>
    </row>
    <row r="54" spans="1:17" x14ac:dyDescent="0.35">
      <c r="A54" s="18">
        <v>9</v>
      </c>
      <c r="B54" s="15" t="s">
        <v>1054</v>
      </c>
      <c r="C54" s="31" t="s">
        <v>1079</v>
      </c>
      <c r="D54" s="12" t="s">
        <v>1041</v>
      </c>
      <c r="E54" s="78"/>
      <c r="F54" s="12" t="s">
        <v>634</v>
      </c>
      <c r="G54" s="21">
        <v>25827</v>
      </c>
      <c r="I54" s="78"/>
      <c r="K54" s="78"/>
      <c r="M54" s="18" t="s">
        <v>220</v>
      </c>
      <c r="N54" s="12" t="s">
        <v>40</v>
      </c>
      <c r="O54" s="18" t="str">
        <f t="shared" ca="1" si="1"/>
        <v>54,0</v>
      </c>
      <c r="P54" s="12" t="s">
        <v>1102</v>
      </c>
      <c r="Q54" s="18"/>
    </row>
    <row r="55" spans="1:17" x14ac:dyDescent="0.35">
      <c r="A55" s="18">
        <v>10</v>
      </c>
      <c r="B55" s="15" t="s">
        <v>1055</v>
      </c>
      <c r="C55" s="31" t="s">
        <v>1080</v>
      </c>
      <c r="D55" s="12" t="s">
        <v>1043</v>
      </c>
      <c r="E55" s="78"/>
      <c r="F55" s="12" t="s">
        <v>35</v>
      </c>
      <c r="G55" s="21">
        <v>27852</v>
      </c>
      <c r="I55" s="78"/>
      <c r="K55" s="78"/>
      <c r="M55" s="18" t="s">
        <v>220</v>
      </c>
      <c r="N55" s="12" t="s">
        <v>40</v>
      </c>
      <c r="O55" s="18" t="str">
        <f t="shared" ca="1" si="1"/>
        <v>48,6</v>
      </c>
      <c r="P55" s="12" t="s">
        <v>1102</v>
      </c>
      <c r="Q55" s="18"/>
    </row>
    <row r="56" spans="1:17" x14ac:dyDescent="0.35">
      <c r="A56" s="18">
        <v>11</v>
      </c>
      <c r="B56" s="15" t="s">
        <v>1056</v>
      </c>
      <c r="C56" s="31" t="s">
        <v>1081</v>
      </c>
      <c r="D56" s="12" t="s">
        <v>1041</v>
      </c>
      <c r="E56" s="78"/>
      <c r="F56" s="12" t="s">
        <v>1098</v>
      </c>
      <c r="G56" s="21">
        <v>23133</v>
      </c>
      <c r="I56" s="78"/>
      <c r="K56" s="78"/>
      <c r="M56" s="18" t="s">
        <v>39</v>
      </c>
      <c r="N56" s="12" t="s">
        <v>40</v>
      </c>
      <c r="O56" s="18" t="str">
        <f t="shared" ca="1" si="1"/>
        <v>61,5</v>
      </c>
      <c r="P56" s="12" t="s">
        <v>1102</v>
      </c>
      <c r="Q56" s="18"/>
    </row>
    <row r="57" spans="1:17" x14ac:dyDescent="0.35">
      <c r="A57" s="18">
        <v>12</v>
      </c>
      <c r="B57" s="15" t="s">
        <v>1057</v>
      </c>
      <c r="C57" s="31" t="s">
        <v>1082</v>
      </c>
      <c r="D57" s="12" t="s">
        <v>1041</v>
      </c>
      <c r="E57" s="78"/>
      <c r="F57" s="12" t="s">
        <v>1099</v>
      </c>
      <c r="G57" s="21">
        <v>26760</v>
      </c>
      <c r="I57" s="78"/>
      <c r="K57" s="78"/>
      <c r="M57" s="18" t="s">
        <v>220</v>
      </c>
      <c r="N57" s="12" t="s">
        <v>40</v>
      </c>
      <c r="O57" s="18" t="str">
        <f t="shared" ca="1" si="1"/>
        <v>51,6</v>
      </c>
      <c r="P57" s="12" t="s">
        <v>1102</v>
      </c>
      <c r="Q57" s="18"/>
    </row>
    <row r="58" spans="1:17" x14ac:dyDescent="0.35">
      <c r="A58" s="18">
        <v>13</v>
      </c>
      <c r="B58" s="15" t="s">
        <v>1058</v>
      </c>
      <c r="C58" s="31" t="s">
        <v>1083</v>
      </c>
      <c r="D58" s="12" t="s">
        <v>1041</v>
      </c>
      <c r="E58" s="78"/>
      <c r="F58" s="12" t="s">
        <v>1100</v>
      </c>
      <c r="G58" s="21">
        <v>25460</v>
      </c>
      <c r="I58" s="78"/>
      <c r="K58" s="78"/>
      <c r="M58" s="18" t="s">
        <v>220</v>
      </c>
      <c r="N58" s="12" t="s">
        <v>40</v>
      </c>
      <c r="O58" s="18" t="str">
        <f t="shared" ca="1" si="1"/>
        <v>55,0</v>
      </c>
      <c r="P58" s="12" t="s">
        <v>1102</v>
      </c>
      <c r="Q58" s="18"/>
    </row>
    <row r="59" spans="1:17" x14ac:dyDescent="0.35">
      <c r="A59" s="18">
        <v>14</v>
      </c>
      <c r="B59" s="15" t="s">
        <v>1059</v>
      </c>
      <c r="C59" s="31" t="s">
        <v>1084</v>
      </c>
      <c r="D59" s="12" t="s">
        <v>1041</v>
      </c>
      <c r="E59" s="78"/>
      <c r="F59" s="12" t="s">
        <v>1101</v>
      </c>
      <c r="G59" s="21">
        <v>29573</v>
      </c>
      <c r="I59" s="78"/>
      <c r="K59" s="78"/>
      <c r="M59" s="18" t="s">
        <v>220</v>
      </c>
      <c r="N59" s="12" t="s">
        <v>40</v>
      </c>
      <c r="O59" s="18" t="str">
        <f t="shared" ca="1" si="1"/>
        <v>43,9</v>
      </c>
      <c r="P59" s="12" t="s">
        <v>1102</v>
      </c>
      <c r="Q59" s="18"/>
    </row>
    <row r="60" spans="1:17" x14ac:dyDescent="0.35">
      <c r="A60" s="18">
        <v>15</v>
      </c>
      <c r="B60" s="15" t="s">
        <v>1060</v>
      </c>
      <c r="C60" s="31" t="s">
        <v>1085</v>
      </c>
      <c r="D60" s="12" t="s">
        <v>1094</v>
      </c>
      <c r="E60" s="78"/>
      <c r="F60" s="12" t="s">
        <v>35</v>
      </c>
      <c r="G60" s="21">
        <v>26391</v>
      </c>
      <c r="I60" s="78"/>
      <c r="K60" s="78"/>
      <c r="M60" s="18" t="s">
        <v>220</v>
      </c>
      <c r="N60" s="12" t="s">
        <v>40</v>
      </c>
      <c r="O60" s="18" t="str">
        <f t="shared" ca="1" si="1"/>
        <v>52,6</v>
      </c>
      <c r="P60" s="12" t="s">
        <v>1102</v>
      </c>
      <c r="Q60" s="18"/>
    </row>
    <row r="61" spans="1:17" x14ac:dyDescent="0.35">
      <c r="A61" s="18">
        <v>16</v>
      </c>
      <c r="B61" s="15" t="s">
        <v>1061</v>
      </c>
      <c r="C61" s="31" t="s">
        <v>1086</v>
      </c>
      <c r="D61" s="12" t="s">
        <v>1043</v>
      </c>
      <c r="E61" s="78"/>
      <c r="F61" s="12" t="s">
        <v>742</v>
      </c>
      <c r="G61" s="21">
        <v>31044</v>
      </c>
      <c r="I61" s="78"/>
      <c r="K61" s="78"/>
      <c r="M61" s="18" t="s">
        <v>220</v>
      </c>
      <c r="N61" s="12" t="s">
        <v>40</v>
      </c>
      <c r="O61" s="18" t="str">
        <f t="shared" ca="1" si="1"/>
        <v>39,9</v>
      </c>
      <c r="P61" s="12" t="s">
        <v>1102</v>
      </c>
      <c r="Q61" s="18"/>
    </row>
    <row r="62" spans="1:17" x14ac:dyDescent="0.35">
      <c r="A62" s="18">
        <v>17</v>
      </c>
      <c r="B62" s="15" t="s">
        <v>1062</v>
      </c>
      <c r="C62" s="31" t="s">
        <v>1087</v>
      </c>
      <c r="D62" s="12" t="s">
        <v>140</v>
      </c>
      <c r="E62" s="78"/>
      <c r="F62" s="12" t="s">
        <v>35</v>
      </c>
      <c r="G62" s="21">
        <v>24787</v>
      </c>
      <c r="I62" s="78"/>
      <c r="K62" s="78"/>
      <c r="M62" s="18" t="s">
        <v>220</v>
      </c>
      <c r="N62" s="12" t="s">
        <v>40</v>
      </c>
      <c r="O62" s="18" t="str">
        <f t="shared" ca="1" si="1"/>
        <v>56,10</v>
      </c>
      <c r="P62" s="12" t="s">
        <v>1102</v>
      </c>
      <c r="Q62" s="18"/>
    </row>
    <row r="63" spans="1:17" x14ac:dyDescent="0.35">
      <c r="A63" s="18">
        <v>18</v>
      </c>
      <c r="B63" s="15" t="s">
        <v>1063</v>
      </c>
      <c r="C63" s="31" t="s">
        <v>1088</v>
      </c>
      <c r="D63" s="12" t="s">
        <v>1044</v>
      </c>
      <c r="E63" s="78"/>
      <c r="F63" s="12" t="s">
        <v>747</v>
      </c>
      <c r="G63" s="21">
        <v>24708</v>
      </c>
      <c r="I63" s="78"/>
      <c r="K63" s="78"/>
      <c r="M63" s="18" t="s">
        <v>220</v>
      </c>
      <c r="N63" s="12" t="s">
        <v>40</v>
      </c>
      <c r="O63" s="18" t="str">
        <f t="shared" ca="1" si="1"/>
        <v>57,1</v>
      </c>
      <c r="P63" s="12" t="s">
        <v>1102</v>
      </c>
      <c r="Q63" s="18"/>
    </row>
    <row r="64" spans="1:17" x14ac:dyDescent="0.35">
      <c r="A64" s="18">
        <v>19</v>
      </c>
      <c r="B64" s="15" t="s">
        <v>1064</v>
      </c>
      <c r="C64" s="31" t="s">
        <v>1089</v>
      </c>
      <c r="D64" s="12" t="s">
        <v>1095</v>
      </c>
      <c r="E64" s="78"/>
      <c r="F64" s="12" t="s">
        <v>35</v>
      </c>
      <c r="G64" s="21">
        <v>31996</v>
      </c>
      <c r="I64" s="78"/>
      <c r="K64" s="78"/>
      <c r="M64" s="18" t="s">
        <v>220</v>
      </c>
      <c r="N64" s="12" t="s">
        <v>40</v>
      </c>
      <c r="O64" s="18" t="str">
        <f t="shared" ca="1" si="1"/>
        <v>37,2</v>
      </c>
      <c r="P64" s="12" t="s">
        <v>1102</v>
      </c>
      <c r="Q64" s="18"/>
    </row>
    <row r="65" spans="1:17" x14ac:dyDescent="0.35">
      <c r="A65" s="18">
        <v>20</v>
      </c>
      <c r="B65" s="15" t="s">
        <v>1065</v>
      </c>
      <c r="C65" s="31" t="s">
        <v>1090</v>
      </c>
      <c r="D65" s="12" t="s">
        <v>1041</v>
      </c>
      <c r="E65" s="78"/>
      <c r="F65" s="12" t="s">
        <v>737</v>
      </c>
      <c r="G65" s="21">
        <v>23990</v>
      </c>
      <c r="I65" s="78"/>
      <c r="K65" s="78"/>
      <c r="M65" s="18" t="s">
        <v>39</v>
      </c>
      <c r="N65" s="12" t="s">
        <v>40</v>
      </c>
      <c r="O65" s="18" t="str">
        <f t="shared" ca="1" si="1"/>
        <v>59,1</v>
      </c>
      <c r="P65" s="12" t="s">
        <v>1102</v>
      </c>
      <c r="Q65" s="18"/>
    </row>
    <row r="66" spans="1:17" x14ac:dyDescent="0.35">
      <c r="A66" s="18">
        <v>21</v>
      </c>
      <c r="B66" s="15" t="s">
        <v>1066</v>
      </c>
      <c r="C66" s="31" t="s">
        <v>1091</v>
      </c>
      <c r="D66" s="12" t="s">
        <v>1041</v>
      </c>
      <c r="E66" s="78"/>
      <c r="F66" s="12" t="s">
        <v>175</v>
      </c>
      <c r="G66" s="21">
        <v>28536</v>
      </c>
      <c r="I66" s="78"/>
      <c r="K66" s="78"/>
      <c r="M66" s="18" t="s">
        <v>220</v>
      </c>
      <c r="N66" s="12" t="s">
        <v>40</v>
      </c>
      <c r="O66" s="18" t="str">
        <f t="shared" ca="1" si="1"/>
        <v>46,7</v>
      </c>
      <c r="P66" s="12" t="s">
        <v>1102</v>
      </c>
      <c r="Q66" s="18"/>
    </row>
    <row r="67" spans="1:17" x14ac:dyDescent="0.35">
      <c r="A67" s="18">
        <v>22</v>
      </c>
      <c r="B67" s="15" t="s">
        <v>1067</v>
      </c>
      <c r="C67" s="31" t="s">
        <v>1092</v>
      </c>
      <c r="D67" s="12" t="s">
        <v>1039</v>
      </c>
      <c r="E67" s="78"/>
      <c r="F67" s="12" t="s">
        <v>163</v>
      </c>
      <c r="G67" s="21">
        <v>27367</v>
      </c>
      <c r="I67" s="78"/>
      <c r="K67" s="78"/>
      <c r="M67" s="18" t="s">
        <v>39</v>
      </c>
      <c r="N67" s="12" t="s">
        <v>40</v>
      </c>
      <c r="O67" s="18" t="str">
        <f t="shared" ca="1" si="1"/>
        <v>49,10</v>
      </c>
      <c r="P67" s="12" t="s">
        <v>1102</v>
      </c>
      <c r="Q67" s="18"/>
    </row>
    <row r="68" spans="1:17" x14ac:dyDescent="0.35">
      <c r="A68" s="18">
        <v>23</v>
      </c>
      <c r="B68" s="15" t="s">
        <v>1068</v>
      </c>
      <c r="C68" s="31"/>
      <c r="D68" s="12"/>
      <c r="E68" s="78"/>
      <c r="F68" s="12"/>
      <c r="G68" s="21"/>
      <c r="I68" s="78"/>
      <c r="K68" s="78"/>
      <c r="M68" s="18" t="s">
        <v>39</v>
      </c>
      <c r="N68" s="12" t="s">
        <v>40</v>
      </c>
      <c r="O68" s="18"/>
      <c r="P68" s="12" t="s">
        <v>1102</v>
      </c>
      <c r="Q68" s="18"/>
    </row>
    <row r="69" spans="1:17" x14ac:dyDescent="0.35">
      <c r="A69" s="18">
        <v>24</v>
      </c>
      <c r="B69" s="15" t="s">
        <v>1069</v>
      </c>
      <c r="C69" s="31"/>
      <c r="D69" s="12"/>
      <c r="E69" s="78"/>
      <c r="F69" s="12"/>
      <c r="G69" s="21"/>
      <c r="I69" s="78"/>
      <c r="K69" s="78"/>
      <c r="M69" s="18" t="s">
        <v>39</v>
      </c>
      <c r="N69" s="12" t="s">
        <v>40</v>
      </c>
      <c r="O69" s="18"/>
      <c r="P69" s="12" t="s">
        <v>1102</v>
      </c>
      <c r="Q69" s="18"/>
    </row>
    <row r="70" spans="1:17" x14ac:dyDescent="0.35">
      <c r="A70" s="18">
        <v>25</v>
      </c>
      <c r="B70" s="15" t="s">
        <v>1070</v>
      </c>
      <c r="C70" s="31"/>
      <c r="D70" s="12"/>
      <c r="E70" s="78"/>
      <c r="F70" s="12"/>
      <c r="G70" s="21"/>
      <c r="I70" s="78"/>
      <c r="K70" s="78"/>
      <c r="M70" s="18" t="s">
        <v>220</v>
      </c>
      <c r="N70" s="12" t="s">
        <v>40</v>
      </c>
      <c r="O70" s="18"/>
      <c r="P70" s="12" t="s">
        <v>1102</v>
      </c>
      <c r="Q70" s="18"/>
    </row>
    <row r="74" spans="1:17" x14ac:dyDescent="0.35">
      <c r="A74" s="36" t="s">
        <v>1018</v>
      </c>
      <c r="C74" s="33"/>
      <c r="D74" s="12"/>
    </row>
    <row r="75" spans="1:17" s="13" customFormat="1" ht="17" customHeight="1" x14ac:dyDescent="0.35">
      <c r="A75" s="401" t="s">
        <v>13</v>
      </c>
      <c r="B75" s="402" t="s">
        <v>14</v>
      </c>
      <c r="C75" s="403" t="s">
        <v>959</v>
      </c>
      <c r="D75" s="405" t="s">
        <v>15</v>
      </c>
      <c r="E75" s="401" t="s">
        <v>18</v>
      </c>
      <c r="F75" s="402" t="s">
        <v>16</v>
      </c>
      <c r="G75" s="400" t="s">
        <v>17</v>
      </c>
      <c r="H75" s="407" t="s">
        <v>985</v>
      </c>
      <c r="I75" s="408" t="s">
        <v>986</v>
      </c>
      <c r="J75" s="409"/>
      <c r="K75" s="400" t="s">
        <v>987</v>
      </c>
      <c r="L75" s="401" t="s">
        <v>23</v>
      </c>
      <c r="M75" s="127" t="s">
        <v>31</v>
      </c>
      <c r="N75" s="413" t="s">
        <v>25</v>
      </c>
      <c r="O75" s="401" t="s">
        <v>26</v>
      </c>
      <c r="P75" s="414" t="s">
        <v>988</v>
      </c>
      <c r="Q75" s="400" t="s">
        <v>852</v>
      </c>
    </row>
    <row r="76" spans="1:17" s="13" customFormat="1" x14ac:dyDescent="0.35">
      <c r="A76" s="401"/>
      <c r="B76" s="402"/>
      <c r="C76" s="404"/>
      <c r="D76" s="406"/>
      <c r="E76" s="401"/>
      <c r="F76" s="402"/>
      <c r="G76" s="400"/>
      <c r="H76" s="407"/>
      <c r="I76" s="126" t="s">
        <v>3</v>
      </c>
      <c r="J76" s="128" t="s">
        <v>4</v>
      </c>
      <c r="K76" s="400"/>
      <c r="L76" s="401"/>
      <c r="M76" s="126" t="s">
        <v>24</v>
      </c>
      <c r="N76" s="413"/>
      <c r="O76" s="401"/>
      <c r="P76" s="415"/>
      <c r="Q76" s="400"/>
    </row>
    <row r="77" spans="1:17" s="61" customFormat="1" ht="17" customHeight="1" thickBot="1" x14ac:dyDescent="0.4">
      <c r="A77" s="129">
        <v>1</v>
      </c>
      <c r="B77" s="130">
        <v>2</v>
      </c>
      <c r="C77" s="129">
        <v>3</v>
      </c>
      <c r="D77" s="131">
        <v>4</v>
      </c>
      <c r="E77" s="129">
        <v>5</v>
      </c>
      <c r="F77" s="131">
        <v>6</v>
      </c>
      <c r="G77" s="129">
        <v>7</v>
      </c>
      <c r="H77" s="131">
        <v>8</v>
      </c>
      <c r="I77" s="129">
        <v>9</v>
      </c>
      <c r="J77" s="131">
        <v>10</v>
      </c>
      <c r="K77" s="129">
        <v>11</v>
      </c>
      <c r="L77" s="131">
        <v>12</v>
      </c>
      <c r="M77" s="129">
        <v>13</v>
      </c>
      <c r="N77" s="131">
        <v>14</v>
      </c>
      <c r="O77" s="129">
        <v>15</v>
      </c>
      <c r="P77" s="131">
        <v>16</v>
      </c>
      <c r="Q77" s="129">
        <v>17</v>
      </c>
    </row>
    <row r="78" spans="1:17" ht="16" thickTop="1" x14ac:dyDescent="0.35">
      <c r="A78" s="18">
        <v>1</v>
      </c>
      <c r="B78" s="168" t="s">
        <v>1019</v>
      </c>
      <c r="C78" s="31" t="s">
        <v>153</v>
      </c>
      <c r="D78" s="12" t="s">
        <v>1039</v>
      </c>
      <c r="E78" s="78"/>
      <c r="F78" s="12" t="s">
        <v>153</v>
      </c>
      <c r="G78" s="21">
        <v>22809</v>
      </c>
      <c r="I78" s="78"/>
      <c r="K78" s="78"/>
      <c r="M78" s="18" t="s">
        <v>39</v>
      </c>
      <c r="N78" s="12" t="s">
        <v>40</v>
      </c>
      <c r="O78" s="18" t="str">
        <f ca="1">DATEDIF(G78,$A$5,"Y") &amp;","&amp;DATEDIF(G78,$A$5,"YM")</f>
        <v>62,3</v>
      </c>
      <c r="P78" s="12" t="s">
        <v>1105</v>
      </c>
      <c r="Q78" s="18"/>
    </row>
    <row r="79" spans="1:17" x14ac:dyDescent="0.35">
      <c r="A79" s="18">
        <v>2</v>
      </c>
      <c r="B79" s="168" t="s">
        <v>1020</v>
      </c>
      <c r="C79" s="31" t="s">
        <v>35</v>
      </c>
      <c r="D79" s="12" t="s">
        <v>1040</v>
      </c>
      <c r="E79" s="78"/>
      <c r="F79" s="12" t="s">
        <v>35</v>
      </c>
      <c r="G79" s="21">
        <v>27925</v>
      </c>
      <c r="I79" s="78"/>
      <c r="K79" s="78"/>
      <c r="M79" s="18" t="s">
        <v>39</v>
      </c>
      <c r="N79" s="12" t="s">
        <v>40</v>
      </c>
      <c r="O79" s="18" t="str">
        <f t="shared" ref="O79:O93" ca="1" si="2">DATEDIF(G79,$A$5,"Y") &amp;","&amp;DATEDIF(G79,$A$5,"YM")</f>
        <v>48,3</v>
      </c>
      <c r="P79" s="12" t="s">
        <v>1105</v>
      </c>
      <c r="Q79" s="18"/>
    </row>
    <row r="80" spans="1:17" x14ac:dyDescent="0.35">
      <c r="A80" s="18">
        <v>3</v>
      </c>
      <c r="B80" s="168" t="s">
        <v>1021</v>
      </c>
      <c r="C80" s="31" t="s">
        <v>35</v>
      </c>
      <c r="D80" s="12" t="s">
        <v>138</v>
      </c>
      <c r="E80" s="78"/>
      <c r="F80" s="12" t="s">
        <v>35</v>
      </c>
      <c r="G80" s="21">
        <v>30655</v>
      </c>
      <c r="I80" s="78"/>
      <c r="K80" s="78"/>
      <c r="M80" s="18" t="s">
        <v>39</v>
      </c>
      <c r="N80" s="12" t="s">
        <v>40</v>
      </c>
      <c r="O80" s="18" t="str">
        <f t="shared" ca="1" si="2"/>
        <v>40,10</v>
      </c>
      <c r="P80" s="12" t="s">
        <v>1105</v>
      </c>
      <c r="Q80" s="18"/>
    </row>
    <row r="81" spans="1:17" x14ac:dyDescent="0.35">
      <c r="A81" s="18">
        <v>4</v>
      </c>
      <c r="B81" s="168" t="s">
        <v>1022</v>
      </c>
      <c r="C81" s="31" t="s">
        <v>168</v>
      </c>
      <c r="D81" s="12" t="s">
        <v>138</v>
      </c>
      <c r="E81" s="78"/>
      <c r="F81" s="12" t="s">
        <v>168</v>
      </c>
      <c r="G81" s="21">
        <v>24539</v>
      </c>
      <c r="I81" s="78"/>
      <c r="K81" s="78"/>
      <c r="M81" s="18" t="s">
        <v>39</v>
      </c>
      <c r="N81" s="12" t="s">
        <v>40</v>
      </c>
      <c r="O81" s="18" t="str">
        <f t="shared" ca="1" si="2"/>
        <v>57,7</v>
      </c>
      <c r="P81" s="12" t="s">
        <v>1105</v>
      </c>
      <c r="Q81" s="18"/>
    </row>
    <row r="82" spans="1:17" x14ac:dyDescent="0.35">
      <c r="A82" s="18">
        <v>5</v>
      </c>
      <c r="B82" s="168" t="s">
        <v>1023</v>
      </c>
      <c r="C82" s="31" t="s">
        <v>646</v>
      </c>
      <c r="D82" s="12" t="s">
        <v>1041</v>
      </c>
      <c r="E82" s="78"/>
      <c r="F82" s="12" t="s">
        <v>646</v>
      </c>
      <c r="G82" s="21">
        <v>25991</v>
      </c>
      <c r="I82" s="78"/>
      <c r="K82" s="78"/>
      <c r="M82" s="18" t="s">
        <v>39</v>
      </c>
      <c r="N82" s="12" t="s">
        <v>40</v>
      </c>
      <c r="O82" s="18" t="str">
        <f t="shared" ca="1" si="2"/>
        <v>53,7</v>
      </c>
      <c r="P82" s="12" t="s">
        <v>1105</v>
      </c>
      <c r="Q82" s="18"/>
    </row>
    <row r="83" spans="1:17" x14ac:dyDescent="0.35">
      <c r="A83" s="18">
        <v>6</v>
      </c>
      <c r="B83" s="168" t="s">
        <v>1024</v>
      </c>
      <c r="C83" s="31" t="s">
        <v>35</v>
      </c>
      <c r="D83" s="12" t="s">
        <v>1042</v>
      </c>
      <c r="E83" s="78"/>
      <c r="F83" s="12" t="s">
        <v>35</v>
      </c>
      <c r="G83" s="21">
        <v>29662</v>
      </c>
      <c r="I83" s="78"/>
      <c r="K83" s="78"/>
      <c r="M83" s="18" t="s">
        <v>39</v>
      </c>
      <c r="N83" s="12" t="s">
        <v>40</v>
      </c>
      <c r="O83" s="18" t="str">
        <f t="shared" ca="1" si="2"/>
        <v>43,6</v>
      </c>
      <c r="P83" s="12" t="s">
        <v>1105</v>
      </c>
      <c r="Q83" s="18"/>
    </row>
    <row r="84" spans="1:17" x14ac:dyDescent="0.35">
      <c r="A84" s="18">
        <v>7</v>
      </c>
      <c r="B84" s="168" t="s">
        <v>1025</v>
      </c>
      <c r="C84" s="31" t="s">
        <v>35</v>
      </c>
      <c r="D84" s="12" t="s">
        <v>1039</v>
      </c>
      <c r="E84" s="78"/>
      <c r="F84" s="12" t="s">
        <v>35</v>
      </c>
      <c r="G84" s="21">
        <v>30594</v>
      </c>
      <c r="I84" s="78"/>
      <c r="K84" s="78"/>
      <c r="M84" s="18" t="s">
        <v>39</v>
      </c>
      <c r="N84" s="12" t="s">
        <v>40</v>
      </c>
      <c r="O84" s="18" t="str">
        <f t="shared" ca="1" si="2"/>
        <v>41,0</v>
      </c>
      <c r="P84" s="12" t="s">
        <v>1105</v>
      </c>
      <c r="Q84" s="18"/>
    </row>
    <row r="85" spans="1:17" x14ac:dyDescent="0.35">
      <c r="A85" s="18">
        <v>8</v>
      </c>
      <c r="B85" s="168" t="s">
        <v>1026</v>
      </c>
      <c r="C85" s="31" t="s">
        <v>35</v>
      </c>
      <c r="D85" s="12" t="s">
        <v>1041</v>
      </c>
      <c r="E85" s="78"/>
      <c r="F85" s="12" t="s">
        <v>35</v>
      </c>
      <c r="G85" s="21">
        <v>28581</v>
      </c>
      <c r="I85" s="78"/>
      <c r="K85" s="78"/>
      <c r="M85" s="18" t="s">
        <v>39</v>
      </c>
      <c r="N85" s="12" t="s">
        <v>40</v>
      </c>
      <c r="O85" s="18" t="str">
        <f t="shared" ca="1" si="2"/>
        <v>46,6</v>
      </c>
      <c r="P85" s="12" t="s">
        <v>1105</v>
      </c>
      <c r="Q85" s="18"/>
    </row>
    <row r="86" spans="1:17" x14ac:dyDescent="0.35">
      <c r="A86" s="18">
        <v>9</v>
      </c>
      <c r="B86" s="168" t="s">
        <v>1027</v>
      </c>
      <c r="C86" s="31" t="s">
        <v>644</v>
      </c>
      <c r="D86" s="12" t="s">
        <v>138</v>
      </c>
      <c r="E86" s="78"/>
      <c r="F86" s="12" t="s">
        <v>644</v>
      </c>
      <c r="G86" s="21">
        <v>24630</v>
      </c>
      <c r="I86" s="78"/>
      <c r="K86" s="78"/>
      <c r="M86" s="18" t="s">
        <v>39</v>
      </c>
      <c r="N86" s="12" t="s">
        <v>40</v>
      </c>
      <c r="O86" s="18" t="str">
        <f t="shared" ca="1" si="2"/>
        <v>57,4</v>
      </c>
      <c r="P86" s="12" t="s">
        <v>1105</v>
      </c>
      <c r="Q86" s="18"/>
    </row>
    <row r="87" spans="1:17" x14ac:dyDescent="0.35">
      <c r="A87" s="18">
        <v>10</v>
      </c>
      <c r="B87" s="168" t="s">
        <v>1028</v>
      </c>
      <c r="C87" s="31" t="s">
        <v>35</v>
      </c>
      <c r="D87" s="12" t="s">
        <v>144</v>
      </c>
      <c r="E87" s="78"/>
      <c r="F87" s="12" t="s">
        <v>35</v>
      </c>
      <c r="G87" s="21">
        <v>30277</v>
      </c>
      <c r="I87" s="78"/>
      <c r="K87" s="78"/>
      <c r="M87" s="18" t="s">
        <v>39</v>
      </c>
      <c r="N87" s="12" t="s">
        <v>40</v>
      </c>
      <c r="O87" s="18" t="str">
        <f t="shared" ca="1" si="2"/>
        <v>41,10</v>
      </c>
      <c r="P87" s="12" t="s">
        <v>1105</v>
      </c>
      <c r="Q87" s="18"/>
    </row>
    <row r="88" spans="1:17" x14ac:dyDescent="0.35">
      <c r="A88" s="18">
        <v>11</v>
      </c>
      <c r="B88" s="168" t="s">
        <v>1029</v>
      </c>
      <c r="C88" s="31" t="s">
        <v>751</v>
      </c>
      <c r="D88" s="12" t="s">
        <v>144</v>
      </c>
      <c r="E88" s="78"/>
      <c r="F88" s="12" t="s">
        <v>751</v>
      </c>
      <c r="G88" s="21">
        <v>31051</v>
      </c>
      <c r="I88" s="78"/>
      <c r="K88" s="78"/>
      <c r="M88" s="18" t="s">
        <v>39</v>
      </c>
      <c r="N88" s="12" t="s">
        <v>40</v>
      </c>
      <c r="O88" s="18" t="str">
        <f t="shared" ca="1" si="2"/>
        <v>39,9</v>
      </c>
      <c r="P88" s="12" t="s">
        <v>1105</v>
      </c>
      <c r="Q88" s="18"/>
    </row>
    <row r="89" spans="1:17" x14ac:dyDescent="0.35">
      <c r="A89" s="18">
        <v>12</v>
      </c>
      <c r="B89" s="168" t="s">
        <v>1030</v>
      </c>
      <c r="C89" s="31" t="s">
        <v>1036</v>
      </c>
      <c r="D89" s="12" t="s">
        <v>1043</v>
      </c>
      <c r="E89" s="78"/>
      <c r="F89" s="12" t="s">
        <v>1036</v>
      </c>
      <c r="G89" s="21">
        <v>26985</v>
      </c>
      <c r="I89" s="78"/>
      <c r="K89" s="78"/>
      <c r="M89" s="18" t="s">
        <v>39</v>
      </c>
      <c r="N89" s="12" t="s">
        <v>40</v>
      </c>
      <c r="O89" s="18" t="str">
        <f t="shared" ca="1" si="2"/>
        <v>50,10</v>
      </c>
      <c r="P89" s="12" t="s">
        <v>1105</v>
      </c>
      <c r="Q89" s="18"/>
    </row>
    <row r="90" spans="1:17" x14ac:dyDescent="0.35">
      <c r="A90" s="18">
        <v>13</v>
      </c>
      <c r="B90" s="169" t="s">
        <v>1031</v>
      </c>
      <c r="C90" s="31" t="s">
        <v>1037</v>
      </c>
      <c r="D90" s="12" t="s">
        <v>138</v>
      </c>
      <c r="E90" s="78"/>
      <c r="F90" s="12" t="s">
        <v>1037</v>
      </c>
      <c r="G90" s="21">
        <v>25548</v>
      </c>
      <c r="I90" s="78"/>
      <c r="K90" s="78"/>
      <c r="M90" s="18" t="s">
        <v>39</v>
      </c>
      <c r="N90" s="12" t="s">
        <v>40</v>
      </c>
      <c r="O90" s="18" t="str">
        <f t="shared" ca="1" si="2"/>
        <v>54,9</v>
      </c>
      <c r="P90" s="12" t="s">
        <v>1105</v>
      </c>
      <c r="Q90" s="18"/>
    </row>
    <row r="91" spans="1:17" x14ac:dyDescent="0.35">
      <c r="A91" s="18">
        <v>14</v>
      </c>
      <c r="B91" s="168" t="s">
        <v>1032</v>
      </c>
      <c r="C91" s="31" t="s">
        <v>1038</v>
      </c>
      <c r="D91" s="12" t="s">
        <v>1043</v>
      </c>
      <c r="E91" s="78"/>
      <c r="F91" s="12" t="s">
        <v>1038</v>
      </c>
      <c r="G91" s="21">
        <v>29837</v>
      </c>
      <c r="I91" s="78"/>
      <c r="K91" s="78"/>
      <c r="M91" s="18" t="s">
        <v>39</v>
      </c>
      <c r="N91" s="12" t="s">
        <v>40</v>
      </c>
      <c r="O91" s="18" t="str">
        <f t="shared" ca="1" si="2"/>
        <v>43,1</v>
      </c>
      <c r="P91" s="12" t="s">
        <v>1105</v>
      </c>
      <c r="Q91" s="18"/>
    </row>
    <row r="92" spans="1:17" x14ac:dyDescent="0.35">
      <c r="A92" s="18">
        <v>15</v>
      </c>
      <c r="B92" s="168" t="s">
        <v>1033</v>
      </c>
      <c r="C92" s="31" t="s">
        <v>35</v>
      </c>
      <c r="D92" s="12" t="s">
        <v>144</v>
      </c>
      <c r="E92" s="78"/>
      <c r="F92" s="12" t="s">
        <v>35</v>
      </c>
      <c r="G92" s="21">
        <v>29618</v>
      </c>
      <c r="I92" s="78"/>
      <c r="K92" s="78"/>
      <c r="M92" s="18" t="s">
        <v>39</v>
      </c>
      <c r="N92" s="12" t="s">
        <v>40</v>
      </c>
      <c r="O92" s="18" t="str">
        <f t="shared" ca="1" si="2"/>
        <v>43,8</v>
      </c>
      <c r="P92" s="12" t="s">
        <v>1105</v>
      </c>
      <c r="Q92" s="18"/>
    </row>
    <row r="93" spans="1:17" x14ac:dyDescent="0.35">
      <c r="A93" s="18">
        <v>16</v>
      </c>
      <c r="B93" s="168" t="s">
        <v>1034</v>
      </c>
      <c r="C93" s="31" t="s">
        <v>322</v>
      </c>
      <c r="D93" s="12" t="s">
        <v>1044</v>
      </c>
      <c r="E93" s="78"/>
      <c r="F93" s="12" t="s">
        <v>322</v>
      </c>
      <c r="G93" s="21">
        <v>27771</v>
      </c>
      <c r="I93" s="78"/>
      <c r="K93" s="78"/>
      <c r="M93" s="18" t="s">
        <v>39</v>
      </c>
      <c r="N93" s="12" t="s">
        <v>40</v>
      </c>
      <c r="O93" s="18" t="str">
        <f t="shared" ca="1" si="2"/>
        <v>48,8</v>
      </c>
      <c r="P93" s="12" t="s">
        <v>1105</v>
      </c>
      <c r="Q93" s="18"/>
    </row>
    <row r="94" spans="1:17" x14ac:dyDescent="0.35">
      <c r="A94" s="96">
        <v>17</v>
      </c>
      <c r="B94" s="108" t="s">
        <v>1035</v>
      </c>
      <c r="C94" s="118" t="s">
        <v>163</v>
      </c>
      <c r="D94" s="107" t="s">
        <v>138</v>
      </c>
      <c r="E94" s="104"/>
      <c r="F94" s="107" t="s">
        <v>163</v>
      </c>
      <c r="G94" s="122">
        <v>23455</v>
      </c>
      <c r="H94" s="108"/>
      <c r="I94" s="104"/>
      <c r="J94" s="108"/>
      <c r="K94" s="104"/>
      <c r="L94" s="108"/>
      <c r="M94" s="96" t="s">
        <v>39</v>
      </c>
      <c r="N94" s="107" t="s">
        <v>40</v>
      </c>
      <c r="O94" s="96" t="str">
        <f ca="1">DATEDIF(G94,$A$5,"Y") &amp;","&amp;DATEDIF(G94,$A$5,"YM")</f>
        <v>60,6</v>
      </c>
      <c r="P94" s="96" t="s">
        <v>1105</v>
      </c>
      <c r="Q94" s="96"/>
    </row>
    <row r="98" spans="1:17" x14ac:dyDescent="0.35">
      <c r="A98" s="36" t="s">
        <v>1103</v>
      </c>
      <c r="C98" s="33"/>
      <c r="D98" s="12"/>
    </row>
    <row r="99" spans="1:17" s="13" customFormat="1" ht="17" customHeight="1" x14ac:dyDescent="0.35">
      <c r="A99" s="350" t="s">
        <v>13</v>
      </c>
      <c r="B99" s="355" t="s">
        <v>14</v>
      </c>
      <c r="C99" s="359" t="s">
        <v>959</v>
      </c>
      <c r="D99" s="361" t="s">
        <v>15</v>
      </c>
      <c r="E99" s="350" t="s">
        <v>18</v>
      </c>
      <c r="F99" s="355" t="s">
        <v>16</v>
      </c>
      <c r="G99" s="354" t="s">
        <v>17</v>
      </c>
      <c r="H99" s="356" t="s">
        <v>985</v>
      </c>
      <c r="I99" s="357" t="s">
        <v>986</v>
      </c>
      <c r="J99" s="358"/>
      <c r="K99" s="354" t="s">
        <v>987</v>
      </c>
      <c r="L99" s="350" t="s">
        <v>23</v>
      </c>
      <c r="M99" s="136" t="s">
        <v>31</v>
      </c>
      <c r="N99" s="351" t="s">
        <v>25</v>
      </c>
      <c r="O99" s="350" t="s">
        <v>26</v>
      </c>
      <c r="P99" s="352" t="s">
        <v>988</v>
      </c>
      <c r="Q99" s="354" t="s">
        <v>852</v>
      </c>
    </row>
    <row r="100" spans="1:17" s="13" customFormat="1" x14ac:dyDescent="0.35">
      <c r="A100" s="350"/>
      <c r="B100" s="355"/>
      <c r="C100" s="360"/>
      <c r="D100" s="362"/>
      <c r="E100" s="350"/>
      <c r="F100" s="355"/>
      <c r="G100" s="354"/>
      <c r="H100" s="356"/>
      <c r="I100" s="135" t="s">
        <v>3</v>
      </c>
      <c r="J100" s="137" t="s">
        <v>4</v>
      </c>
      <c r="K100" s="354"/>
      <c r="L100" s="350"/>
      <c r="M100" s="135" t="s">
        <v>24</v>
      </c>
      <c r="N100" s="351"/>
      <c r="O100" s="350"/>
      <c r="P100" s="353"/>
      <c r="Q100" s="354"/>
    </row>
    <row r="101" spans="1:17" s="61" customFormat="1" ht="17" customHeight="1" thickBot="1" x14ac:dyDescent="0.4">
      <c r="A101" s="138">
        <v>1</v>
      </c>
      <c r="B101" s="139">
        <v>2</v>
      </c>
      <c r="C101" s="138">
        <v>3</v>
      </c>
      <c r="D101" s="140">
        <v>4</v>
      </c>
      <c r="E101" s="138">
        <v>5</v>
      </c>
      <c r="F101" s="140">
        <v>6</v>
      </c>
      <c r="G101" s="138">
        <v>7</v>
      </c>
      <c r="H101" s="140">
        <v>8</v>
      </c>
      <c r="I101" s="138">
        <v>9</v>
      </c>
      <c r="J101" s="140">
        <v>10</v>
      </c>
      <c r="K101" s="138">
        <v>11</v>
      </c>
      <c r="L101" s="140">
        <v>12</v>
      </c>
      <c r="M101" s="138">
        <v>13</v>
      </c>
      <c r="N101" s="140">
        <v>14</v>
      </c>
      <c r="O101" s="138">
        <v>15</v>
      </c>
      <c r="P101" s="140">
        <v>16</v>
      </c>
      <c r="Q101" s="138">
        <v>17</v>
      </c>
    </row>
    <row r="102" spans="1:17" ht="16" thickTop="1" x14ac:dyDescent="0.35">
      <c r="A102" s="18">
        <v>1</v>
      </c>
      <c r="B102" s="169" t="s">
        <v>1106</v>
      </c>
      <c r="C102" s="31" t="s">
        <v>1113</v>
      </c>
      <c r="D102" s="12" t="s">
        <v>138</v>
      </c>
      <c r="E102" s="78"/>
      <c r="F102" s="12" t="s">
        <v>35</v>
      </c>
      <c r="G102" s="21">
        <v>28880</v>
      </c>
      <c r="I102" s="78"/>
      <c r="K102" s="78"/>
      <c r="M102" s="18" t="s">
        <v>39</v>
      </c>
      <c r="N102" s="12" t="s">
        <v>40</v>
      </c>
      <c r="O102" s="18" t="str">
        <f ca="1">DATEDIF(G102,$A$5,"Y") &amp;","&amp;DATEDIF(G102,$A$5,"YM")</f>
        <v>45,8</v>
      </c>
      <c r="P102" s="12" t="s">
        <v>1104</v>
      </c>
      <c r="Q102" s="18"/>
    </row>
    <row r="103" spans="1:17" x14ac:dyDescent="0.35">
      <c r="A103" s="18">
        <v>2</v>
      </c>
      <c r="B103" s="169" t="s">
        <v>1107</v>
      </c>
      <c r="C103" s="31" t="s">
        <v>1114</v>
      </c>
      <c r="D103" s="12" t="s">
        <v>1039</v>
      </c>
      <c r="E103" s="78"/>
      <c r="F103" s="12" t="s">
        <v>1120</v>
      </c>
      <c r="G103" s="21">
        <v>26239</v>
      </c>
      <c r="I103" s="78"/>
      <c r="K103" s="78"/>
      <c r="M103" s="18" t="s">
        <v>39</v>
      </c>
      <c r="N103" s="12" t="s">
        <v>40</v>
      </c>
      <c r="O103" s="18" t="str">
        <f t="shared" ref="O103:O108" ca="1" si="3">DATEDIF(G103,$A$5,"Y") &amp;","&amp;DATEDIF(G103,$A$5,"YM")</f>
        <v>52,11</v>
      </c>
      <c r="P103" s="12" t="s">
        <v>1104</v>
      </c>
      <c r="Q103" s="18"/>
    </row>
    <row r="104" spans="1:17" x14ac:dyDescent="0.35">
      <c r="A104" s="18">
        <v>3</v>
      </c>
      <c r="B104" s="169" t="s">
        <v>1108</v>
      </c>
      <c r="C104" s="31" t="s">
        <v>1115</v>
      </c>
      <c r="D104" s="12" t="s">
        <v>1041</v>
      </c>
      <c r="E104" s="78"/>
      <c r="F104" s="12" t="s">
        <v>35</v>
      </c>
      <c r="G104" s="21">
        <v>30047</v>
      </c>
      <c r="I104" s="78"/>
      <c r="K104" s="78"/>
      <c r="M104" s="18" t="s">
        <v>39</v>
      </c>
      <c r="N104" s="12" t="s">
        <v>40</v>
      </c>
      <c r="O104" s="18" t="str">
        <f t="shared" ca="1" si="3"/>
        <v>42,6</v>
      </c>
      <c r="P104" s="12" t="s">
        <v>1104</v>
      </c>
      <c r="Q104" s="18"/>
    </row>
    <row r="105" spans="1:17" x14ac:dyDescent="0.35">
      <c r="A105" s="18">
        <v>4</v>
      </c>
      <c r="B105" s="169" t="s">
        <v>1109</v>
      </c>
      <c r="C105" s="31" t="s">
        <v>1116</v>
      </c>
      <c r="D105" s="12" t="s">
        <v>306</v>
      </c>
      <c r="E105" s="78"/>
      <c r="F105" s="12" t="s">
        <v>652</v>
      </c>
      <c r="G105" s="21">
        <v>27822</v>
      </c>
      <c r="I105" s="78"/>
      <c r="K105" s="78"/>
      <c r="M105" s="18" t="s">
        <v>39</v>
      </c>
      <c r="N105" s="12" t="s">
        <v>40</v>
      </c>
      <c r="O105" s="18" t="str">
        <f t="shared" ca="1" si="3"/>
        <v>48,7</v>
      </c>
      <c r="P105" s="12" t="s">
        <v>1104</v>
      </c>
      <c r="Q105" s="18"/>
    </row>
    <row r="106" spans="1:17" x14ac:dyDescent="0.35">
      <c r="A106" s="18">
        <v>5</v>
      </c>
      <c r="B106" s="169" t="s">
        <v>1110</v>
      </c>
      <c r="C106" s="31" t="s">
        <v>1117</v>
      </c>
      <c r="D106" s="12" t="s">
        <v>306</v>
      </c>
      <c r="E106" s="78"/>
      <c r="F106" s="12" t="s">
        <v>737</v>
      </c>
      <c r="G106" s="21">
        <v>24169</v>
      </c>
      <c r="I106" s="78"/>
      <c r="K106" s="78"/>
      <c r="M106" s="18" t="s">
        <v>39</v>
      </c>
      <c r="N106" s="12" t="s">
        <v>40</v>
      </c>
      <c r="O106" s="18" t="str">
        <f t="shared" ca="1" si="3"/>
        <v>58,7</v>
      </c>
      <c r="P106" s="12" t="s">
        <v>1104</v>
      </c>
      <c r="Q106" s="18"/>
    </row>
    <row r="107" spans="1:17" x14ac:dyDescent="0.35">
      <c r="A107" s="18">
        <v>6</v>
      </c>
      <c r="B107" s="169" t="s">
        <v>1111</v>
      </c>
      <c r="C107" s="31" t="s">
        <v>1118</v>
      </c>
      <c r="D107" s="12" t="s">
        <v>1042</v>
      </c>
      <c r="E107" s="78"/>
      <c r="F107" s="12" t="s">
        <v>747</v>
      </c>
      <c r="G107" s="21">
        <v>27906</v>
      </c>
      <c r="I107" s="78"/>
      <c r="K107" s="78"/>
      <c r="M107" s="18" t="s">
        <v>39</v>
      </c>
      <c r="N107" s="12" t="s">
        <v>40</v>
      </c>
      <c r="O107" s="18" t="str">
        <f t="shared" ca="1" si="3"/>
        <v>48,4</v>
      </c>
      <c r="P107" s="12" t="s">
        <v>1104</v>
      </c>
      <c r="Q107" s="18"/>
    </row>
    <row r="108" spans="1:17" x14ac:dyDescent="0.35">
      <c r="A108" s="18">
        <v>7</v>
      </c>
      <c r="B108" s="15" t="s">
        <v>1112</v>
      </c>
      <c r="C108" s="31" t="s">
        <v>1119</v>
      </c>
      <c r="D108" s="12" t="s">
        <v>126</v>
      </c>
      <c r="E108" s="78"/>
      <c r="F108" s="12" t="s">
        <v>1121</v>
      </c>
      <c r="G108" s="21">
        <v>30172</v>
      </c>
      <c r="I108" s="78"/>
      <c r="K108" s="78"/>
      <c r="M108" s="18" t="s">
        <v>39</v>
      </c>
      <c r="N108" s="12" t="s">
        <v>40</v>
      </c>
      <c r="O108" s="18" t="str">
        <f t="shared" ca="1" si="3"/>
        <v>42,1</v>
      </c>
      <c r="P108" s="12" t="s">
        <v>1104</v>
      </c>
      <c r="Q108" s="18"/>
    </row>
    <row r="112" spans="1:17" x14ac:dyDescent="0.35">
      <c r="A112" s="36" t="s">
        <v>1122</v>
      </c>
      <c r="C112" s="33"/>
      <c r="D112" s="12"/>
    </row>
    <row r="113" spans="1:17" s="13" customFormat="1" ht="17" customHeight="1" x14ac:dyDescent="0.35">
      <c r="A113" s="337" t="s">
        <v>13</v>
      </c>
      <c r="B113" s="342" t="s">
        <v>14</v>
      </c>
      <c r="C113" s="346" t="s">
        <v>959</v>
      </c>
      <c r="D113" s="348" t="s">
        <v>15</v>
      </c>
      <c r="E113" s="337" t="s">
        <v>18</v>
      </c>
      <c r="F113" s="342" t="s">
        <v>16</v>
      </c>
      <c r="G113" s="341" t="s">
        <v>17</v>
      </c>
      <c r="H113" s="343" t="s">
        <v>985</v>
      </c>
      <c r="I113" s="344" t="s">
        <v>986</v>
      </c>
      <c r="J113" s="345"/>
      <c r="K113" s="341" t="s">
        <v>987</v>
      </c>
      <c r="L113" s="337" t="s">
        <v>23</v>
      </c>
      <c r="M113" s="142" t="s">
        <v>31</v>
      </c>
      <c r="N113" s="338" t="s">
        <v>25</v>
      </c>
      <c r="O113" s="337" t="s">
        <v>26</v>
      </c>
      <c r="P113" s="339" t="s">
        <v>988</v>
      </c>
      <c r="Q113" s="341" t="s">
        <v>852</v>
      </c>
    </row>
    <row r="114" spans="1:17" s="13" customFormat="1" x14ac:dyDescent="0.35">
      <c r="A114" s="337"/>
      <c r="B114" s="342"/>
      <c r="C114" s="347"/>
      <c r="D114" s="349"/>
      <c r="E114" s="337"/>
      <c r="F114" s="342"/>
      <c r="G114" s="341"/>
      <c r="H114" s="343"/>
      <c r="I114" s="141" t="s">
        <v>3</v>
      </c>
      <c r="J114" s="143" t="s">
        <v>4</v>
      </c>
      <c r="K114" s="341"/>
      <c r="L114" s="337"/>
      <c r="M114" s="141" t="s">
        <v>24</v>
      </c>
      <c r="N114" s="338"/>
      <c r="O114" s="337"/>
      <c r="P114" s="340"/>
      <c r="Q114" s="341"/>
    </row>
    <row r="115" spans="1:17" s="61" customFormat="1" ht="17" customHeight="1" thickBot="1" x14ac:dyDescent="0.4">
      <c r="A115" s="144">
        <v>1</v>
      </c>
      <c r="B115" s="145">
        <v>2</v>
      </c>
      <c r="C115" s="144">
        <v>3</v>
      </c>
      <c r="D115" s="146">
        <v>4</v>
      </c>
      <c r="E115" s="144">
        <v>5</v>
      </c>
      <c r="F115" s="146">
        <v>6</v>
      </c>
      <c r="G115" s="144">
        <v>7</v>
      </c>
      <c r="H115" s="146">
        <v>8</v>
      </c>
      <c r="I115" s="144">
        <v>9</v>
      </c>
      <c r="J115" s="146">
        <v>10</v>
      </c>
      <c r="K115" s="144">
        <v>11</v>
      </c>
      <c r="L115" s="146">
        <v>12</v>
      </c>
      <c r="M115" s="144">
        <v>13</v>
      </c>
      <c r="N115" s="146">
        <v>14</v>
      </c>
      <c r="O115" s="144">
        <v>15</v>
      </c>
      <c r="P115" s="146">
        <v>16</v>
      </c>
      <c r="Q115" s="144">
        <v>17</v>
      </c>
    </row>
    <row r="116" spans="1:17" ht="16" thickTop="1" x14ac:dyDescent="0.35">
      <c r="A116" s="18">
        <v>1</v>
      </c>
      <c r="B116" s="15" t="s">
        <v>1125</v>
      </c>
      <c r="C116" s="31" t="s">
        <v>1126</v>
      </c>
      <c r="D116" s="12"/>
      <c r="E116" s="78"/>
      <c r="F116" s="12" t="s">
        <v>35</v>
      </c>
      <c r="G116" s="21">
        <v>28867</v>
      </c>
      <c r="I116" s="78"/>
      <c r="K116" s="78"/>
      <c r="M116" s="18" t="s">
        <v>39</v>
      </c>
      <c r="N116" s="12" t="s">
        <v>40</v>
      </c>
      <c r="O116" s="18" t="str">
        <f ca="1">DATEDIF(G116,$A$5,"Y") &amp;","&amp;DATEDIF(G116,$A$5,"YM")</f>
        <v>45,8</v>
      </c>
      <c r="P116" s="12" t="s">
        <v>1123</v>
      </c>
      <c r="Q116" s="18"/>
    </row>
    <row r="117" spans="1:17" x14ac:dyDescent="0.35">
      <c r="A117" s="18">
        <v>2</v>
      </c>
      <c r="B117" s="15" t="s">
        <v>1124</v>
      </c>
      <c r="C117" s="31" t="s">
        <v>1127</v>
      </c>
      <c r="D117" s="12"/>
      <c r="E117" s="78"/>
      <c r="F117" s="12" t="s">
        <v>151</v>
      </c>
      <c r="G117" s="21">
        <v>29345</v>
      </c>
      <c r="I117" s="78"/>
      <c r="K117" s="78"/>
      <c r="M117" s="18" t="s">
        <v>39</v>
      </c>
      <c r="N117" s="12" t="s">
        <v>40</v>
      </c>
      <c r="O117" s="18" t="str">
        <f ca="1">DATEDIF(G117,$A$5,"Y") &amp;","&amp;DATEDIF(G117,$A$5,"YM")</f>
        <v>44,5</v>
      </c>
      <c r="P117" s="12" t="s">
        <v>1123</v>
      </c>
      <c r="Q117" s="18"/>
    </row>
    <row r="127" spans="1:17" x14ac:dyDescent="0.35">
      <c r="P127" s="12"/>
    </row>
  </sheetData>
  <mergeCells count="93">
    <mergeCell ref="K75:K76"/>
    <mergeCell ref="L75:L76"/>
    <mergeCell ref="N75:N76"/>
    <mergeCell ref="O75:O76"/>
    <mergeCell ref="P75:P76"/>
    <mergeCell ref="Q75:Q76"/>
    <mergeCell ref="Q32:Q33"/>
    <mergeCell ref="A75:A76"/>
    <mergeCell ref="B75:B76"/>
    <mergeCell ref="C75:C76"/>
    <mergeCell ref="D75:D76"/>
    <mergeCell ref="E75:E76"/>
    <mergeCell ref="F75:F76"/>
    <mergeCell ref="G75:G76"/>
    <mergeCell ref="H75:H76"/>
    <mergeCell ref="I75:J75"/>
    <mergeCell ref="I32:J32"/>
    <mergeCell ref="K32:K33"/>
    <mergeCell ref="L32:L33"/>
    <mergeCell ref="N32:N33"/>
    <mergeCell ref="O32:O33"/>
    <mergeCell ref="P32:P33"/>
    <mergeCell ref="Q8:Q9"/>
    <mergeCell ref="P8:P9"/>
    <mergeCell ref="A32:A33"/>
    <mergeCell ref="B32:B33"/>
    <mergeCell ref="C32:C33"/>
    <mergeCell ref="D32:D33"/>
    <mergeCell ref="E32:E33"/>
    <mergeCell ref="F32:F33"/>
    <mergeCell ref="G32:G33"/>
    <mergeCell ref="H32:H33"/>
    <mergeCell ref="O8:O9"/>
    <mergeCell ref="K8:K9"/>
    <mergeCell ref="L8:L9"/>
    <mergeCell ref="N8:N9"/>
    <mergeCell ref="E8:E9"/>
    <mergeCell ref="F8:F9"/>
    <mergeCell ref="G8:G9"/>
    <mergeCell ref="H8:H9"/>
    <mergeCell ref="I8:J8"/>
    <mergeCell ref="A3:B3"/>
    <mergeCell ref="A4:B4"/>
    <mergeCell ref="A8:A9"/>
    <mergeCell ref="B8:B9"/>
    <mergeCell ref="C8:C9"/>
    <mergeCell ref="D8:D9"/>
    <mergeCell ref="A5:C5"/>
    <mergeCell ref="A43:A44"/>
    <mergeCell ref="B43:B44"/>
    <mergeCell ref="C43:C44"/>
    <mergeCell ref="D43:D44"/>
    <mergeCell ref="E43:E44"/>
    <mergeCell ref="F43:F44"/>
    <mergeCell ref="G43:G44"/>
    <mergeCell ref="H43:H44"/>
    <mergeCell ref="I43:J43"/>
    <mergeCell ref="K43:K44"/>
    <mergeCell ref="L43:L44"/>
    <mergeCell ref="N43:N44"/>
    <mergeCell ref="O43:O44"/>
    <mergeCell ref="P43:P44"/>
    <mergeCell ref="Q43:Q44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I99:J99"/>
    <mergeCell ref="K99:K100"/>
    <mergeCell ref="L99:L100"/>
    <mergeCell ref="N99:N100"/>
    <mergeCell ref="O99:O100"/>
    <mergeCell ref="P99:P100"/>
    <mergeCell ref="Q99:Q100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I113:J113"/>
    <mergeCell ref="K113:K114"/>
    <mergeCell ref="L113:L114"/>
    <mergeCell ref="N113:N114"/>
    <mergeCell ref="O113:O114"/>
    <mergeCell ref="P113:P114"/>
    <mergeCell ref="Q113:Q114"/>
  </mergeCells>
  <phoneticPr fontId="13" type="noConversion"/>
  <pageMargins left="0.25" right="0.25" top="0.75" bottom="0.75" header="0.3" footer="0.3"/>
  <pageSetup paperSize="14" scale="46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88F9F-CBA5-4A41-83E2-C525161F2FBA}">
  <sheetPr>
    <tabColor theme="5" tint="0.79998168889431442"/>
  </sheetPr>
  <dimension ref="A1:I245"/>
  <sheetViews>
    <sheetView topLeftCell="A24" zoomScaleNormal="100" workbookViewId="0">
      <selection activeCell="B49" sqref="B49"/>
    </sheetView>
  </sheetViews>
  <sheetFormatPr defaultColWidth="10.83203125" defaultRowHeight="15.5" x14ac:dyDescent="0.35"/>
  <cols>
    <col min="1" max="1" width="5" style="12" customWidth="1"/>
    <col min="2" max="2" width="41.6640625" style="15" bestFit="1" customWidth="1"/>
    <col min="3" max="3" width="26.33203125" style="33" customWidth="1"/>
    <col min="4" max="4" width="27.5" style="12" hidden="1" customWidth="1"/>
    <col min="5" max="5" width="18.5" style="12" bestFit="1" customWidth="1"/>
    <col min="6" max="6" width="15.1640625" style="12" bestFit="1" customWidth="1"/>
    <col min="7" max="7" width="8.33203125" style="12" customWidth="1"/>
    <col min="8" max="8" width="24.6640625" style="12" bestFit="1" customWidth="1"/>
    <col min="9" max="9" width="15.6640625" style="12" bestFit="1" customWidth="1"/>
    <col min="10" max="16384" width="10.83203125" style="15"/>
  </cols>
  <sheetData>
    <row r="1" spans="1:9" ht="26" x14ac:dyDescent="0.35">
      <c r="A1" s="191" t="s">
        <v>44</v>
      </c>
      <c r="B1" s="191"/>
      <c r="C1" s="191"/>
      <c r="D1" s="191"/>
    </row>
    <row r="3" spans="1:9" ht="21" x14ac:dyDescent="0.35">
      <c r="A3" s="425" t="s">
        <v>1128</v>
      </c>
      <c r="B3" s="425"/>
      <c r="C3" s="28"/>
      <c r="D3" s="17"/>
    </row>
    <row r="4" spans="1:9" x14ac:dyDescent="0.35">
      <c r="A4" s="183" t="s">
        <v>43</v>
      </c>
      <c r="B4" s="183"/>
      <c r="C4" s="154"/>
      <c r="D4" s="13"/>
      <c r="F4" s="151"/>
    </row>
    <row r="5" spans="1:9" x14ac:dyDescent="0.35">
      <c r="A5" s="195">
        <f ca="1">NOW()</f>
        <v>45573.481386574073</v>
      </c>
      <c r="B5" s="195"/>
      <c r="C5" s="13"/>
      <c r="D5" s="13"/>
      <c r="G5" s="151"/>
    </row>
    <row r="6" spans="1:9" x14ac:dyDescent="0.35">
      <c r="A6" s="37"/>
      <c r="B6" s="37"/>
      <c r="C6" s="13"/>
      <c r="D6" s="13"/>
      <c r="G6" s="151"/>
    </row>
    <row r="7" spans="1:9" x14ac:dyDescent="0.35">
      <c r="A7" s="36" t="s">
        <v>914</v>
      </c>
    </row>
    <row r="8" spans="1:9" s="13" customFormat="1" ht="17" customHeight="1" x14ac:dyDescent="0.35">
      <c r="A8" s="325" t="s">
        <v>13</v>
      </c>
      <c r="B8" s="416" t="s">
        <v>14</v>
      </c>
      <c r="C8" s="417" t="s">
        <v>19</v>
      </c>
      <c r="D8" s="419" t="s">
        <v>27</v>
      </c>
      <c r="E8" s="420" t="s">
        <v>16</v>
      </c>
      <c r="F8" s="421" t="s">
        <v>17</v>
      </c>
      <c r="G8" s="422"/>
      <c r="H8" s="325" t="s">
        <v>26</v>
      </c>
      <c r="I8" s="325" t="s">
        <v>1129</v>
      </c>
    </row>
    <row r="9" spans="1:9" s="13" customFormat="1" x14ac:dyDescent="0.35">
      <c r="A9" s="325"/>
      <c r="B9" s="416"/>
      <c r="C9" s="418"/>
      <c r="D9" s="326"/>
      <c r="E9" s="420"/>
      <c r="F9" s="423"/>
      <c r="G9" s="424"/>
      <c r="H9" s="325"/>
      <c r="I9" s="325"/>
    </row>
    <row r="10" spans="1:9" s="22" customFormat="1" ht="16" thickBot="1" x14ac:dyDescent="0.4">
      <c r="A10" s="102">
        <v>1</v>
      </c>
      <c r="B10" s="147">
        <v>2</v>
      </c>
      <c r="C10" s="148">
        <v>3</v>
      </c>
      <c r="D10" s="102">
        <v>4</v>
      </c>
      <c r="E10" s="150">
        <v>5</v>
      </c>
      <c r="F10" s="147">
        <v>6</v>
      </c>
      <c r="G10" s="149">
        <v>7</v>
      </c>
      <c r="H10" s="147">
        <v>8</v>
      </c>
      <c r="I10" s="102">
        <v>9</v>
      </c>
    </row>
    <row r="11" spans="1:9" ht="16" thickTop="1" x14ac:dyDescent="0.35">
      <c r="A11" s="18">
        <v>1</v>
      </c>
      <c r="B11" s="15" t="str">
        <f>Administrasi!B10</f>
        <v>Kusworo Waluyo, M.Pd.</v>
      </c>
      <c r="C11" s="155" t="str">
        <f>VLOOKUP(B11,Administrasi!$B$10:$X$50,2,0)</f>
        <v>197003151993101002</v>
      </c>
      <c r="D11" s="50" t="str">
        <f>VLOOKUP(B11,Administrasi!$B$10:$X$50,10,0)</f>
        <v>Administrasi</v>
      </c>
      <c r="E11" s="12" t="str">
        <f>VLOOKUP(B11,Administrasi!$B$10:$X$50,5,0)</f>
        <v>Samarinda</v>
      </c>
      <c r="F11" s="152">
        <f>VLOOKUP(B11,Administrasi!$B$10:$X$50,6,0)</f>
        <v>25642</v>
      </c>
      <c r="G11" s="153" t="str">
        <f t="shared" ref="G11:G56" si="0">MID(C11,1,4)</f>
        <v>1970</v>
      </c>
      <c r="H11" s="50" t="str">
        <f t="shared" ref="H11:H56" ca="1" si="1">DATEDIF(F11,$A$5,"Y") &amp;" Tahun, "&amp;DATEDIF(F11,$A$5,"YM") &amp;" Bulan, "&amp;DATEDIF(F11,$A$5,"MD") &amp;" Hari"</f>
        <v>54 Tahun, 6 Bulan, 23 Hari</v>
      </c>
      <c r="I11" s="18">
        <f t="shared" ref="I11:I56" si="2">IF(D11="Administrasi",G11+58,G11+60)</f>
        <v>2028</v>
      </c>
    </row>
    <row r="12" spans="1:9" x14ac:dyDescent="0.35">
      <c r="A12" s="18">
        <v>2</v>
      </c>
      <c r="B12" s="15" t="str">
        <f>Administrasi!B11</f>
        <v>Agus Tajuddin, S.Sos.</v>
      </c>
      <c r="C12" s="155" t="str">
        <f>VLOOKUP(B12,Administrasi!$B$10:$X$50,2,0)</f>
        <v>196709061992031003</v>
      </c>
      <c r="D12" s="50" t="str">
        <f>VLOOKUP(B12,Administrasi!$B$10:$X$50,10,0)</f>
        <v>Administrasi Fungsional Madya</v>
      </c>
      <c r="E12" s="12" t="str">
        <f>VLOOKUP(B12,Administrasi!$B$10:$X$50,5,0)</f>
        <v>Surabaya</v>
      </c>
      <c r="F12" s="152">
        <f>VLOOKUP(B12,Administrasi!$B$10:$X$50,6,0)</f>
        <v>24721</v>
      </c>
      <c r="G12" s="153" t="str">
        <f t="shared" si="0"/>
        <v>1967</v>
      </c>
      <c r="H12" s="50" t="str">
        <f t="shared" ca="1" si="1"/>
        <v>57 Tahun, 1 Bulan, 2 Hari</v>
      </c>
      <c r="I12" s="18">
        <f t="shared" si="2"/>
        <v>2027</v>
      </c>
    </row>
    <row r="13" spans="1:9" x14ac:dyDescent="0.35">
      <c r="A13" s="18">
        <v>3</v>
      </c>
      <c r="B13" s="15" t="str">
        <f>Administrasi!B12</f>
        <v>Joko Karsono, S.Sos.</v>
      </c>
      <c r="C13" s="155" t="str">
        <f>VLOOKUP(B13,Administrasi!$B$10:$X$50,2,0)</f>
        <v>196709291989021001</v>
      </c>
      <c r="D13" s="50" t="str">
        <f>VLOOKUP(B13,Administrasi!$B$10:$X$50,10,0)</f>
        <v>Administrasi</v>
      </c>
      <c r="E13" s="12" t="str">
        <f>VLOOKUP(B13,Administrasi!$B$10:$X$50,5,0)</f>
        <v>Nganjuk</v>
      </c>
      <c r="F13" s="152">
        <f>VLOOKUP(B13,Administrasi!$B$10:$X$50,6,0)</f>
        <v>24744</v>
      </c>
      <c r="G13" s="153" t="str">
        <f t="shared" si="0"/>
        <v>1967</v>
      </c>
      <c r="H13" s="50" t="str">
        <f t="shared" ca="1" si="1"/>
        <v>57 Tahun, 0 Bulan, 9 Hari</v>
      </c>
      <c r="I13" s="18">
        <f t="shared" si="2"/>
        <v>2025</v>
      </c>
    </row>
    <row r="14" spans="1:9" x14ac:dyDescent="0.35">
      <c r="A14" s="18">
        <v>4</v>
      </c>
      <c r="B14" s="15" t="str">
        <f>Administrasi!B13</f>
        <v>Yoyok Handoyo, S.Sos.</v>
      </c>
      <c r="C14" s="155" t="str">
        <f>VLOOKUP(B14,Administrasi!$B$10:$X$50,2,0)</f>
        <v>197006051993031001</v>
      </c>
      <c r="D14" s="50" t="str">
        <f>VLOOKUP(B14,Administrasi!$B$10:$X$50,10,0)</f>
        <v>Administrasi</v>
      </c>
      <c r="E14" s="12" t="str">
        <f>VLOOKUP(B14,Administrasi!$B$10:$X$50,5,0)</f>
        <v>Surabaya</v>
      </c>
      <c r="F14" s="152">
        <f>VLOOKUP(B14,Administrasi!$B$10:$X$50,6,0)</f>
        <v>25724</v>
      </c>
      <c r="G14" s="153" t="str">
        <f t="shared" si="0"/>
        <v>1970</v>
      </c>
      <c r="H14" s="50" t="str">
        <f t="shared" ca="1" si="1"/>
        <v>54 Tahun, 4 Bulan, 3 Hari</v>
      </c>
      <c r="I14" s="18">
        <f t="shared" si="2"/>
        <v>2028</v>
      </c>
    </row>
    <row r="15" spans="1:9" x14ac:dyDescent="0.35">
      <c r="A15" s="18">
        <v>5</v>
      </c>
      <c r="B15" s="15" t="str">
        <f>Administrasi!B14</f>
        <v>Siti Jubaidah, S.Sos.</v>
      </c>
      <c r="C15" s="155" t="str">
        <f>VLOOKUP(B15,Administrasi!$B$10:$X$50,2,0)</f>
        <v>196809051991032001</v>
      </c>
      <c r="D15" s="50" t="str">
        <f>VLOOKUP(B15,Administrasi!$B$10:$X$50,10,0)</f>
        <v>Administrasi</v>
      </c>
      <c r="E15" s="12" t="str">
        <f>VLOOKUP(B15,Administrasi!$B$10:$X$50,5,0)</f>
        <v>Muara Jawa</v>
      </c>
      <c r="F15" s="152">
        <f>VLOOKUP(B15,Administrasi!$B$10:$X$50,6,0)</f>
        <v>25086</v>
      </c>
      <c r="G15" s="153" t="str">
        <f t="shared" si="0"/>
        <v>1968</v>
      </c>
      <c r="H15" s="50" t="str">
        <f t="shared" ca="1" si="1"/>
        <v>56 Tahun, 1 Bulan, 3 Hari</v>
      </c>
      <c r="I15" s="18">
        <f t="shared" si="2"/>
        <v>2026</v>
      </c>
    </row>
    <row r="16" spans="1:9" x14ac:dyDescent="0.35">
      <c r="A16" s="18">
        <v>6</v>
      </c>
      <c r="B16" s="15" t="str">
        <f>Administrasi!B15</f>
        <v>Asrani, S.Sos.</v>
      </c>
      <c r="C16" s="155" t="str">
        <f>VLOOKUP(B16,Administrasi!$B$10:$X$50,2,0)</f>
        <v>196704041991031003</v>
      </c>
      <c r="D16" s="50" t="str">
        <f>VLOOKUP(B16,Administrasi!$B$10:$X$50,10,0)</f>
        <v>Administrasi</v>
      </c>
      <c r="E16" s="12" t="str">
        <f>VLOOKUP(B16,Administrasi!$B$10:$X$50,5,0)</f>
        <v>Kutai</v>
      </c>
      <c r="F16" s="152">
        <f>VLOOKUP(B16,Administrasi!$B$10:$X$50,6,0)</f>
        <v>24566</v>
      </c>
      <c r="G16" s="153" t="str">
        <f t="shared" si="0"/>
        <v>1967</v>
      </c>
      <c r="H16" s="50" t="str">
        <f t="shared" ca="1" si="1"/>
        <v>57 Tahun, 6 Bulan, 4 Hari</v>
      </c>
      <c r="I16" s="18">
        <f t="shared" si="2"/>
        <v>2025</v>
      </c>
    </row>
    <row r="17" spans="1:9" x14ac:dyDescent="0.35">
      <c r="A17" s="18">
        <v>7</v>
      </c>
      <c r="B17" s="15" t="str">
        <f>Administrasi!B16</f>
        <v>La Halidi, S.Sos.</v>
      </c>
      <c r="C17" s="155" t="str">
        <f>VLOOKUP(B17,Administrasi!$B$10:$X$50,2,0)</f>
        <v>196912311990021002</v>
      </c>
      <c r="D17" s="50" t="str">
        <f>VLOOKUP(B17,Administrasi!$B$10:$X$50,10,0)</f>
        <v>Administrasi</v>
      </c>
      <c r="E17" s="12" t="str">
        <f>VLOOKUP(B17,Administrasi!$B$10:$X$50,5,0)</f>
        <v>Kombeli</v>
      </c>
      <c r="F17" s="152">
        <f>VLOOKUP(B17,Administrasi!$B$10:$X$50,6,0)</f>
        <v>25568</v>
      </c>
      <c r="G17" s="153" t="str">
        <f t="shared" si="0"/>
        <v>1969</v>
      </c>
      <c r="H17" s="50" t="str">
        <f t="shared" ca="1" si="1"/>
        <v>54 Tahun, 9 Bulan, 7 Hari</v>
      </c>
      <c r="I17" s="18">
        <f t="shared" si="2"/>
        <v>2027</v>
      </c>
    </row>
    <row r="18" spans="1:9" x14ac:dyDescent="0.35">
      <c r="A18" s="18">
        <v>8</v>
      </c>
      <c r="B18" s="15" t="str">
        <f>Administrasi!B17</f>
        <v>Yusnita Sari, S.E.</v>
      </c>
      <c r="C18" s="155" t="str">
        <f>VLOOKUP(B18,Administrasi!$B$10:$X$50,2,0)</f>
        <v>198202032005012001</v>
      </c>
      <c r="D18" s="50" t="str">
        <f>VLOOKUP(B18,Administrasi!$B$10:$X$50,10,0)</f>
        <v>Administrasi</v>
      </c>
      <c r="E18" s="12" t="str">
        <f>VLOOKUP(B18,Administrasi!$B$10:$X$50,5,0)</f>
        <v>Samarinda</v>
      </c>
      <c r="F18" s="152">
        <f>VLOOKUP(B18,Administrasi!$B$10:$X$50,6,0)</f>
        <v>29985</v>
      </c>
      <c r="G18" s="153" t="str">
        <f t="shared" si="0"/>
        <v>1982</v>
      </c>
      <c r="H18" s="50" t="str">
        <f t="shared" ca="1" si="1"/>
        <v>42 Tahun, 8 Bulan, 5 Hari</v>
      </c>
      <c r="I18" s="18">
        <f t="shared" si="2"/>
        <v>2040</v>
      </c>
    </row>
    <row r="19" spans="1:9" x14ac:dyDescent="0.35">
      <c r="A19" s="18">
        <v>9</v>
      </c>
      <c r="B19" s="15" t="str">
        <f>Administrasi!B18</f>
        <v>Prima Hanugerah Yudhabarata, S.E.</v>
      </c>
      <c r="C19" s="155" t="str">
        <f>VLOOKUP(B19,Administrasi!$B$10:$X$50,2,0)</f>
        <v>198001122005011001</v>
      </c>
      <c r="D19" s="50" t="str">
        <f>VLOOKUP(B19,Administrasi!$B$10:$X$50,10,0)</f>
        <v>Administrasi</v>
      </c>
      <c r="E19" s="12" t="str">
        <f>VLOOKUP(B19,Administrasi!$B$10:$X$50,5,0)</f>
        <v>Samarinda</v>
      </c>
      <c r="F19" s="152">
        <f>VLOOKUP(B19,Administrasi!$B$10:$X$50,6,0)</f>
        <v>29232</v>
      </c>
      <c r="G19" s="153" t="str">
        <f t="shared" si="0"/>
        <v>1980</v>
      </c>
      <c r="H19" s="50" t="str">
        <f t="shared" ca="1" si="1"/>
        <v>44 Tahun, 8 Bulan, 26 Hari</v>
      </c>
      <c r="I19" s="18">
        <f t="shared" si="2"/>
        <v>2038</v>
      </c>
    </row>
    <row r="20" spans="1:9" x14ac:dyDescent="0.35">
      <c r="A20" s="18">
        <v>10</v>
      </c>
      <c r="B20" s="15" t="str">
        <f>Administrasi!B19</f>
        <v>Rosita, S.E.</v>
      </c>
      <c r="C20" s="155" t="str">
        <f>VLOOKUP(B20,Administrasi!$B$10:$X$50,2,0)</f>
        <v>197203081993032001</v>
      </c>
      <c r="D20" s="50" t="str">
        <f>VLOOKUP(B20,Administrasi!$B$10:$X$50,10,0)</f>
        <v>Administrasi</v>
      </c>
      <c r="E20" s="12" t="str">
        <f>VLOOKUP(B20,Administrasi!$B$10:$X$50,5,0)</f>
        <v>Muara Muntai</v>
      </c>
      <c r="F20" s="152">
        <f>VLOOKUP(B20,Administrasi!$B$10:$X$50,6,0)</f>
        <v>26366</v>
      </c>
      <c r="G20" s="153" t="str">
        <f t="shared" si="0"/>
        <v>1972</v>
      </c>
      <c r="H20" s="50" t="str">
        <f t="shared" ca="1" si="1"/>
        <v>52 Tahun, 7 Bulan, 0 Hari</v>
      </c>
      <c r="I20" s="18">
        <f t="shared" si="2"/>
        <v>2030</v>
      </c>
    </row>
    <row r="21" spans="1:9" x14ac:dyDescent="0.35">
      <c r="A21" s="18">
        <v>11</v>
      </c>
      <c r="B21" s="15" t="str">
        <f>Administrasi!B20</f>
        <v>Hermanto, S.E.</v>
      </c>
      <c r="C21" s="155" t="str">
        <f>VLOOKUP(B21,Administrasi!$B$10:$X$50,2,0)</f>
        <v>196912111993031001</v>
      </c>
      <c r="D21" s="50" t="str">
        <f>VLOOKUP(B21,Administrasi!$B$10:$X$50,10,0)</f>
        <v>Administrasi</v>
      </c>
      <c r="E21" s="12" t="str">
        <f>VLOOKUP(B21,Administrasi!$B$10:$X$50,5,0)</f>
        <v>Kutai Timur</v>
      </c>
      <c r="F21" s="152">
        <f>VLOOKUP(B21,Administrasi!$B$10:$X$50,6,0)</f>
        <v>25548</v>
      </c>
      <c r="G21" s="153" t="str">
        <f t="shared" si="0"/>
        <v>1969</v>
      </c>
      <c r="H21" s="50" t="str">
        <f t="shared" ca="1" si="1"/>
        <v>54 Tahun, 9 Bulan, 27 Hari</v>
      </c>
      <c r="I21" s="18">
        <f t="shared" si="2"/>
        <v>2027</v>
      </c>
    </row>
    <row r="22" spans="1:9" x14ac:dyDescent="0.35">
      <c r="A22" s="18">
        <v>12</v>
      </c>
      <c r="B22" s="15" t="str">
        <f>Administrasi!B21</f>
        <v>La Ode Harubi, S.E.</v>
      </c>
      <c r="C22" s="155" t="str">
        <f>VLOOKUP(B22,Administrasi!$B$10:$X$50,2,0)</f>
        <v>196808051993031006</v>
      </c>
      <c r="D22" s="50" t="str">
        <f>VLOOKUP(B22,Administrasi!$B$10:$X$50,10,0)</f>
        <v>Administrasi</v>
      </c>
      <c r="E22" s="12" t="str">
        <f>VLOOKUP(B22,Administrasi!$B$10:$X$50,5,0)</f>
        <v>Poogalampa</v>
      </c>
      <c r="F22" s="152">
        <f>VLOOKUP(B22,Administrasi!$B$10:$X$50,6,0)</f>
        <v>25055</v>
      </c>
      <c r="G22" s="153" t="str">
        <f t="shared" si="0"/>
        <v>1968</v>
      </c>
      <c r="H22" s="50" t="str">
        <f t="shared" ca="1" si="1"/>
        <v>56 Tahun, 2 Bulan, 3 Hari</v>
      </c>
      <c r="I22" s="18">
        <f t="shared" si="2"/>
        <v>2026</v>
      </c>
    </row>
    <row r="23" spans="1:9" x14ac:dyDescent="0.35">
      <c r="A23" s="18">
        <v>13</v>
      </c>
      <c r="B23" s="15" t="str">
        <f>Administrasi!B22</f>
        <v>Apdulim Rombe Allo, S.E.</v>
      </c>
      <c r="C23" s="155" t="str">
        <f>VLOOKUP(B23,Administrasi!$B$10:$X$50,2,0)</f>
        <v>197104251990021001</v>
      </c>
      <c r="D23" s="50" t="str">
        <f>VLOOKUP(B23,Administrasi!$B$10:$X$50,10,0)</f>
        <v>Administrasi</v>
      </c>
      <c r="E23" s="12" t="str">
        <f>VLOOKUP(B23,Administrasi!$B$10:$X$50,5,0)</f>
        <v>Samarinda</v>
      </c>
      <c r="F23" s="152">
        <f>VLOOKUP(B23,Administrasi!$B$10:$X$50,6,0)</f>
        <v>26048</v>
      </c>
      <c r="G23" s="153" t="str">
        <f t="shared" si="0"/>
        <v>1971</v>
      </c>
      <c r="H23" s="50" t="str">
        <f t="shared" ca="1" si="1"/>
        <v>53 Tahun, 5 Bulan, 13 Hari</v>
      </c>
      <c r="I23" s="18">
        <f t="shared" si="2"/>
        <v>2029</v>
      </c>
    </row>
    <row r="24" spans="1:9" x14ac:dyDescent="0.35">
      <c r="A24" s="18">
        <v>14</v>
      </c>
      <c r="B24" s="15" t="str">
        <f>Administrasi!B23</f>
        <v>Agus Susanto, S.E.</v>
      </c>
      <c r="C24" s="155" t="str">
        <f>VLOOKUP(B24,Administrasi!$B$10:$X$50,2,0)</f>
        <v>198108072003121002</v>
      </c>
      <c r="D24" s="50" t="str">
        <f>VLOOKUP(B24,Administrasi!$B$10:$X$50,10,0)</f>
        <v>Administrasi</v>
      </c>
      <c r="E24" s="12" t="str">
        <f>VLOOKUP(B24,Administrasi!$B$10:$X$50,5,0)</f>
        <v>Jakarta</v>
      </c>
      <c r="F24" s="152">
        <f>VLOOKUP(B24,Administrasi!$B$10:$X$50,6,0)</f>
        <v>29805</v>
      </c>
      <c r="G24" s="153" t="str">
        <f t="shared" si="0"/>
        <v>1981</v>
      </c>
      <c r="H24" s="50" t="str">
        <f t="shared" ca="1" si="1"/>
        <v>43 Tahun, 2 Bulan, 1 Hari</v>
      </c>
      <c r="I24" s="18">
        <f t="shared" si="2"/>
        <v>2039</v>
      </c>
    </row>
    <row r="25" spans="1:9" x14ac:dyDescent="0.35">
      <c r="A25" s="18">
        <v>15</v>
      </c>
      <c r="B25" s="15" t="str">
        <f>Administrasi!B24</f>
        <v>Haminin, S.P.</v>
      </c>
      <c r="C25" s="155" t="str">
        <f>VLOOKUP(B25,Administrasi!$B$10:$X$50,2,0)</f>
        <v>196710152000031002</v>
      </c>
      <c r="D25" s="50" t="str">
        <f>VLOOKUP(B25,Administrasi!$B$10:$X$50,10,0)</f>
        <v>Administrasi</v>
      </c>
      <c r="E25" s="12" t="str">
        <f>VLOOKUP(B25,Administrasi!$B$10:$X$50,5,0)</f>
        <v>Aceh Utara</v>
      </c>
      <c r="F25" s="152">
        <f>VLOOKUP(B25,Administrasi!$B$10:$X$50,6,0)</f>
        <v>24760</v>
      </c>
      <c r="G25" s="153" t="str">
        <f t="shared" si="0"/>
        <v>1967</v>
      </c>
      <c r="H25" s="50" t="str">
        <f t="shared" ca="1" si="1"/>
        <v>56 Tahun, 11 Bulan, 23 Hari</v>
      </c>
      <c r="I25" s="18">
        <f t="shared" si="2"/>
        <v>2025</v>
      </c>
    </row>
    <row r="26" spans="1:9" x14ac:dyDescent="0.35">
      <c r="A26" s="18">
        <v>16</v>
      </c>
      <c r="B26" s="15" t="str">
        <f>Administrasi!B25</f>
        <v>Suriansyah, S.E.</v>
      </c>
      <c r="C26" s="155" t="str">
        <f>VLOOKUP(B26,Administrasi!$B$10:$X$50,2,0)</f>
        <v>196912121992031001</v>
      </c>
      <c r="D26" s="50" t="str">
        <f>VLOOKUP(B26,Administrasi!$B$10:$X$50,10,0)</f>
        <v>Administrasi</v>
      </c>
      <c r="E26" s="12" t="str">
        <f>VLOOKUP(B26,Administrasi!$B$10:$X$50,5,0)</f>
        <v>Wajo</v>
      </c>
      <c r="F26" s="152">
        <f>VLOOKUP(B26,Administrasi!$B$10:$X$50,6,0)</f>
        <v>25549</v>
      </c>
      <c r="G26" s="153" t="str">
        <f t="shared" si="0"/>
        <v>1969</v>
      </c>
      <c r="H26" s="50" t="str">
        <f t="shared" ca="1" si="1"/>
        <v>54 Tahun, 9 Bulan, 26 Hari</v>
      </c>
      <c r="I26" s="18">
        <f t="shared" si="2"/>
        <v>2027</v>
      </c>
    </row>
    <row r="27" spans="1:9" x14ac:dyDescent="0.35">
      <c r="A27" s="18">
        <v>17</v>
      </c>
      <c r="B27" s="15" t="str">
        <f>Administrasi!B26</f>
        <v>Darius, S.E.</v>
      </c>
      <c r="C27" s="155" t="str">
        <f>VLOOKUP(B27,Administrasi!$B$10:$X$50,2,0)</f>
        <v>197202081999031009</v>
      </c>
      <c r="D27" s="50" t="str">
        <f>VLOOKUP(B27,Administrasi!$B$10:$X$50,10,0)</f>
        <v>Administrasi</v>
      </c>
      <c r="E27" s="12" t="str">
        <f>VLOOKUP(B27,Administrasi!$B$10:$X$50,5,0)</f>
        <v>Buton</v>
      </c>
      <c r="F27" s="152">
        <f>VLOOKUP(B27,Administrasi!$B$10:$X$50,6,0)</f>
        <v>26337</v>
      </c>
      <c r="G27" s="153" t="str">
        <f t="shared" si="0"/>
        <v>1972</v>
      </c>
      <c r="H27" s="50" t="str">
        <f t="shared" ca="1" si="1"/>
        <v>52 Tahun, 8 Bulan, 0 Hari</v>
      </c>
      <c r="I27" s="18">
        <f t="shared" si="2"/>
        <v>2030</v>
      </c>
    </row>
    <row r="28" spans="1:9" x14ac:dyDescent="0.35">
      <c r="A28" s="18">
        <v>18</v>
      </c>
      <c r="B28" s="15" t="str">
        <f>Administrasi!B27</f>
        <v>Naomi Dendang, A.Md.</v>
      </c>
      <c r="C28" s="155" t="str">
        <f>VLOOKUP(B28,Administrasi!$B$10:$X$50,2,0)</f>
        <v>197712162005012004</v>
      </c>
      <c r="D28" s="50" t="str">
        <f>VLOOKUP(B28,Administrasi!$B$10:$X$50,10,0)</f>
        <v>Administrasi</v>
      </c>
      <c r="E28" s="12" t="str">
        <f>VLOOKUP(B28,Administrasi!$B$10:$X$50,5,0)</f>
        <v>Luwu</v>
      </c>
      <c r="F28" s="152">
        <f>VLOOKUP(B28,Administrasi!$B$10:$X$50,6,0)</f>
        <v>28475</v>
      </c>
      <c r="G28" s="153" t="str">
        <f t="shared" si="0"/>
        <v>1977</v>
      </c>
      <c r="H28" s="50" t="str">
        <f t="shared" ca="1" si="1"/>
        <v>46 Tahun, 9 Bulan, 22 Hari</v>
      </c>
      <c r="I28" s="18">
        <f t="shared" si="2"/>
        <v>2035</v>
      </c>
    </row>
    <row r="29" spans="1:9" x14ac:dyDescent="0.35">
      <c r="A29" s="18">
        <v>19</v>
      </c>
      <c r="B29" s="15" t="str">
        <f>Administrasi!B28</f>
        <v>Sapwan, S.Tr.Kom.</v>
      </c>
      <c r="C29" s="155" t="str">
        <f>VLOOKUP(B29,Administrasi!$B$10:$X$50,2,0)</f>
        <v>197103101993031001</v>
      </c>
      <c r="D29" s="50" t="str">
        <f>VLOOKUP(B29,Administrasi!$B$10:$X$50,10,0)</f>
        <v>Administrasi</v>
      </c>
      <c r="E29" s="12" t="str">
        <f>VLOOKUP(B29,Administrasi!$B$10:$X$50,5,0)</f>
        <v>Samarinda</v>
      </c>
      <c r="F29" s="152">
        <f>VLOOKUP(B29,Administrasi!$B$10:$X$50,6,0)</f>
        <v>26002</v>
      </c>
      <c r="G29" s="153" t="str">
        <f t="shared" si="0"/>
        <v>1971</v>
      </c>
      <c r="H29" s="50" t="str">
        <f t="shared" ca="1" si="1"/>
        <v>53 Tahun, 6 Bulan, 28 Hari</v>
      </c>
      <c r="I29" s="18">
        <f t="shared" si="2"/>
        <v>2029</v>
      </c>
    </row>
    <row r="30" spans="1:9" x14ac:dyDescent="0.35">
      <c r="A30" s="18">
        <v>20</v>
      </c>
      <c r="B30" s="15" t="str">
        <f>Administrasi!B29</f>
        <v>Supangat Ependi, S.Tr.Kom.</v>
      </c>
      <c r="C30" s="155" t="str">
        <f>VLOOKUP(B30,Administrasi!$B$10:$X$50,2,0)</f>
        <v>196802011989021001</v>
      </c>
      <c r="D30" s="50" t="str">
        <f>VLOOKUP(B30,Administrasi!$B$10:$X$50,10,0)</f>
        <v>Administrasi</v>
      </c>
      <c r="E30" s="12" t="str">
        <f>VLOOKUP(B30,Administrasi!$B$10:$X$50,5,0)</f>
        <v>Magelang</v>
      </c>
      <c r="F30" s="152">
        <f>VLOOKUP(B30,Administrasi!$B$10:$X$50,6,0)</f>
        <v>24869</v>
      </c>
      <c r="G30" s="153" t="str">
        <f t="shared" si="0"/>
        <v>1968</v>
      </c>
      <c r="H30" s="50" t="str">
        <f t="shared" ca="1" si="1"/>
        <v>56 Tahun, 8 Bulan, 7 Hari</v>
      </c>
      <c r="I30" s="18">
        <f t="shared" si="2"/>
        <v>2026</v>
      </c>
    </row>
    <row r="31" spans="1:9" x14ac:dyDescent="0.35">
      <c r="A31" s="18">
        <v>21</v>
      </c>
      <c r="B31" s="15" t="str">
        <f>Administrasi!B30</f>
        <v>Eddy, S.E.</v>
      </c>
      <c r="C31" s="155" t="str">
        <f>VLOOKUP(B31,Administrasi!$B$10:$X$50,2,0)</f>
        <v>196706121994031003</v>
      </c>
      <c r="D31" s="50" t="str">
        <f>VLOOKUP(B31,Administrasi!$B$10:$X$50,10,0)</f>
        <v>Administrasi</v>
      </c>
      <c r="E31" s="12" t="str">
        <f>VLOOKUP(B31,Administrasi!$B$10:$X$50,5,0)</f>
        <v>Samarinda</v>
      </c>
      <c r="F31" s="152">
        <f>VLOOKUP(B31,Administrasi!$B$10:$X$50,6,0)</f>
        <v>24635</v>
      </c>
      <c r="G31" s="153" t="str">
        <f t="shared" si="0"/>
        <v>1967</v>
      </c>
      <c r="H31" s="50" t="str">
        <f t="shared" ca="1" si="1"/>
        <v>57 Tahun, 3 Bulan, 26 Hari</v>
      </c>
      <c r="I31" s="18">
        <f t="shared" si="2"/>
        <v>2025</v>
      </c>
    </row>
    <row r="32" spans="1:9" x14ac:dyDescent="0.35">
      <c r="A32" s="18">
        <v>22</v>
      </c>
      <c r="B32" s="15" t="str">
        <f>Administrasi!B31</f>
        <v>Marna Marthen Rando, S.E., M.M.</v>
      </c>
      <c r="C32" s="155" t="str">
        <f>VLOOKUP(B32,Administrasi!$B$10:$X$50,2,0)</f>
        <v>198609122014042001</v>
      </c>
      <c r="D32" s="50" t="str">
        <f>VLOOKUP(B32,Administrasi!$B$10:$X$50,10,0)</f>
        <v>Administrasi</v>
      </c>
      <c r="E32" s="12" t="str">
        <f>VLOOKUP(B32,Administrasi!$B$10:$X$50,5,0)</f>
        <v>Kutai Kartanegara</v>
      </c>
      <c r="F32" s="152">
        <f>VLOOKUP(B32,Administrasi!$B$10:$X$50,6,0)</f>
        <v>31667</v>
      </c>
      <c r="G32" s="153" t="str">
        <f t="shared" si="0"/>
        <v>1986</v>
      </c>
      <c r="H32" s="50" t="str">
        <f t="shared" ca="1" si="1"/>
        <v>38 Tahun, 0 Bulan, 26 Hari</v>
      </c>
      <c r="I32" s="18">
        <f t="shared" si="2"/>
        <v>2044</v>
      </c>
    </row>
    <row r="33" spans="1:9" x14ac:dyDescent="0.35">
      <c r="A33" s="18">
        <v>23</v>
      </c>
      <c r="B33" s="15" t="str">
        <f>Administrasi!B32</f>
        <v>Hairul Anwar</v>
      </c>
      <c r="C33" s="155" t="str">
        <f>VLOOKUP(B33,Administrasi!$B$10:$X$50,2,0)</f>
        <v>196906031990021001</v>
      </c>
      <c r="D33" s="50" t="str">
        <f>VLOOKUP(B33,Administrasi!$B$10:$X$50,10,0)</f>
        <v>Administrasi</v>
      </c>
      <c r="E33" s="12" t="str">
        <f>VLOOKUP(B33,Administrasi!$B$10:$X$50,5,0)</f>
        <v>Samarinda</v>
      </c>
      <c r="F33" s="152">
        <f>VLOOKUP(B33,Administrasi!$B$10:$X$50,6,0)</f>
        <v>25357</v>
      </c>
      <c r="G33" s="153" t="str">
        <f t="shared" si="0"/>
        <v>1969</v>
      </c>
      <c r="H33" s="50" t="str">
        <f t="shared" ca="1" si="1"/>
        <v>55 Tahun, 4 Bulan, 5 Hari</v>
      </c>
      <c r="I33" s="18">
        <f t="shared" si="2"/>
        <v>2027</v>
      </c>
    </row>
    <row r="34" spans="1:9" x14ac:dyDescent="0.35">
      <c r="A34" s="18">
        <v>24</v>
      </c>
      <c r="B34" s="15" t="str">
        <f>Administrasi!B33</f>
        <v>Nasori</v>
      </c>
      <c r="C34" s="155" t="str">
        <f>VLOOKUP(B34,Administrasi!$B$10:$X$50,2,0)</f>
        <v>196802281990021001</v>
      </c>
      <c r="D34" s="50" t="str">
        <f>VLOOKUP(B34,Administrasi!$B$10:$X$50,10,0)</f>
        <v>Administrasi</v>
      </c>
      <c r="E34" s="12" t="str">
        <f>VLOOKUP(B34,Administrasi!$B$10:$X$50,5,0)</f>
        <v>Cilacap</v>
      </c>
      <c r="F34" s="152">
        <f>VLOOKUP(B34,Administrasi!$B$10:$X$50,6,0)</f>
        <v>24896</v>
      </c>
      <c r="G34" s="153" t="str">
        <f t="shared" si="0"/>
        <v>1968</v>
      </c>
      <c r="H34" s="50" t="str">
        <f t="shared" ca="1" si="1"/>
        <v>56 Tahun, 7 Bulan, 10 Hari</v>
      </c>
      <c r="I34" s="18">
        <f t="shared" si="2"/>
        <v>2026</v>
      </c>
    </row>
    <row r="35" spans="1:9" x14ac:dyDescent="0.35">
      <c r="A35" s="18">
        <v>25</v>
      </c>
      <c r="B35" s="15" t="str">
        <f>Administrasi!B34</f>
        <v>Siti Amirah</v>
      </c>
      <c r="C35" s="155" t="str">
        <f>VLOOKUP(B35,Administrasi!$B$10:$X$50,2,0)</f>
        <v>196704161992032001</v>
      </c>
      <c r="D35" s="50" t="str">
        <f>VLOOKUP(B35,Administrasi!$B$10:$X$50,10,0)</f>
        <v>Administrasi</v>
      </c>
      <c r="E35" s="12" t="str">
        <f>VLOOKUP(B35,Administrasi!$B$10:$X$50,5,0)</f>
        <v>Magetan</v>
      </c>
      <c r="F35" s="152">
        <f>VLOOKUP(B35,Administrasi!$B$10:$X$50,6,0)</f>
        <v>24578</v>
      </c>
      <c r="G35" s="153" t="str">
        <f t="shared" si="0"/>
        <v>1967</v>
      </c>
      <c r="H35" s="50" t="str">
        <f t="shared" ca="1" si="1"/>
        <v>57 Tahun, 5 Bulan, 22 Hari</v>
      </c>
      <c r="I35" s="18">
        <f t="shared" si="2"/>
        <v>2025</v>
      </c>
    </row>
    <row r="36" spans="1:9" x14ac:dyDescent="0.35">
      <c r="A36" s="18">
        <v>26</v>
      </c>
      <c r="B36" s="15" t="str">
        <f>Administrasi!B35</f>
        <v>Nurhamidah</v>
      </c>
      <c r="C36" s="155" t="str">
        <f>VLOOKUP(B36,Administrasi!$B$10:$X$50,2,0)</f>
        <v>196612231993032002</v>
      </c>
      <c r="D36" s="50" t="str">
        <f>VLOOKUP(B36,Administrasi!$B$10:$X$50,10,0)</f>
        <v>Administrasi</v>
      </c>
      <c r="E36" s="12" t="str">
        <f>VLOOKUP(B36,Administrasi!$B$10:$X$50,5,0)</f>
        <v>Pelajau Hilir</v>
      </c>
      <c r="F36" s="152">
        <f>VLOOKUP(B36,Administrasi!$B$10:$X$50,6,0)</f>
        <v>24464</v>
      </c>
      <c r="G36" s="153" t="str">
        <f t="shared" si="0"/>
        <v>1966</v>
      </c>
      <c r="H36" s="50" t="str">
        <f t="shared" ca="1" si="1"/>
        <v>57 Tahun, 9 Bulan, 15 Hari</v>
      </c>
      <c r="I36" s="18">
        <f t="shared" si="2"/>
        <v>2024</v>
      </c>
    </row>
    <row r="37" spans="1:9" x14ac:dyDescent="0.35">
      <c r="A37" s="18">
        <v>27</v>
      </c>
      <c r="B37" s="15" t="str">
        <f>Administrasi!B36</f>
        <v>Arief Yani Budiman, S.E.</v>
      </c>
      <c r="C37" s="155" t="str">
        <f>VLOOKUP(B37,Administrasi!$B$10:$X$50,2,0)</f>
        <v>196705031990021002</v>
      </c>
      <c r="D37" s="50" t="str">
        <f>VLOOKUP(B37,Administrasi!$B$10:$X$50,10,0)</f>
        <v>Administrasi</v>
      </c>
      <c r="E37" s="12" t="str">
        <f>VLOOKUP(B37,Administrasi!$B$10:$X$50,5,0)</f>
        <v>Bau-Bau</v>
      </c>
      <c r="F37" s="152">
        <f>VLOOKUP(B37,Administrasi!$B$10:$X$50,6,0)</f>
        <v>24595</v>
      </c>
      <c r="G37" s="153" t="str">
        <f t="shared" si="0"/>
        <v>1967</v>
      </c>
      <c r="H37" s="50" t="str">
        <f t="shared" ca="1" si="1"/>
        <v>57 Tahun, 5 Bulan, 5 Hari</v>
      </c>
      <c r="I37" s="18">
        <f t="shared" si="2"/>
        <v>2025</v>
      </c>
    </row>
    <row r="38" spans="1:9" x14ac:dyDescent="0.35">
      <c r="A38" s="18">
        <v>28</v>
      </c>
      <c r="B38" s="15" t="str">
        <f>Administrasi!B37</f>
        <v>Saria</v>
      </c>
      <c r="C38" s="155" t="str">
        <f>VLOOKUP(B38,Administrasi!$B$10:$X$50,2,0)</f>
        <v>196709101999032002</v>
      </c>
      <c r="D38" s="50" t="str">
        <f>VLOOKUP(B38,Administrasi!$B$10:$X$50,10,0)</f>
        <v>Administrasi</v>
      </c>
      <c r="E38" s="12" t="str">
        <f>VLOOKUP(B38,Administrasi!$B$10:$X$50,5,0)</f>
        <v>Balikpapan</v>
      </c>
      <c r="F38" s="152">
        <f>VLOOKUP(B38,Administrasi!$B$10:$X$50,6,0)</f>
        <v>24725</v>
      </c>
      <c r="G38" s="153" t="str">
        <f t="shared" si="0"/>
        <v>1967</v>
      </c>
      <c r="H38" s="50" t="str">
        <f t="shared" ca="1" si="1"/>
        <v>57 Tahun, 0 Bulan, 28 Hari</v>
      </c>
      <c r="I38" s="18">
        <f t="shared" si="2"/>
        <v>2025</v>
      </c>
    </row>
    <row r="39" spans="1:9" x14ac:dyDescent="0.35">
      <c r="A39" s="18">
        <v>29</v>
      </c>
      <c r="B39" s="15" t="str">
        <f>Administrasi!B38</f>
        <v>Muliah, S.E.</v>
      </c>
      <c r="C39" s="155" t="str">
        <f>VLOOKUP(B39,Administrasi!$B$10:$X$50,2,0)</f>
        <v>197710031999032001</v>
      </c>
      <c r="D39" s="50" t="str">
        <f>VLOOKUP(B39,Administrasi!$B$10:$X$50,10,0)</f>
        <v>Administrasi</v>
      </c>
      <c r="E39" s="12" t="str">
        <f>VLOOKUP(B39,Administrasi!$B$10:$X$50,5,0)</f>
        <v>Bajoe</v>
      </c>
      <c r="F39" s="152">
        <f>VLOOKUP(B39,Administrasi!$B$10:$X$50,6,0)</f>
        <v>28401</v>
      </c>
      <c r="G39" s="153" t="str">
        <f t="shared" si="0"/>
        <v>1977</v>
      </c>
      <c r="H39" s="50" t="str">
        <f t="shared" ca="1" si="1"/>
        <v>47 Tahun, 0 Bulan, 5 Hari</v>
      </c>
      <c r="I39" s="18">
        <f t="shared" si="2"/>
        <v>2035</v>
      </c>
    </row>
    <row r="40" spans="1:9" x14ac:dyDescent="0.35">
      <c r="A40" s="18">
        <v>30</v>
      </c>
      <c r="B40" s="15" t="str">
        <f>Administrasi!B39</f>
        <v>Bena Yuliani, S.E.</v>
      </c>
      <c r="C40" s="155" t="str">
        <f>VLOOKUP(B40,Administrasi!$B$10:$X$50,2,0)</f>
        <v>198007252000032002</v>
      </c>
      <c r="D40" s="50" t="str">
        <f>VLOOKUP(B40,Administrasi!$B$10:$X$50,10,0)</f>
        <v>Administrasi</v>
      </c>
      <c r="E40" s="12" t="str">
        <f>VLOOKUP(B40,Administrasi!$B$10:$X$50,5,0)</f>
        <v>Balikpapan</v>
      </c>
      <c r="F40" s="152">
        <f>VLOOKUP(B40,Administrasi!$B$10:$X$50,6,0)</f>
        <v>29427</v>
      </c>
      <c r="G40" s="153" t="str">
        <f t="shared" si="0"/>
        <v>1980</v>
      </c>
      <c r="H40" s="50" t="str">
        <f t="shared" ca="1" si="1"/>
        <v>44 Tahun, 2 Bulan, 13 Hari</v>
      </c>
      <c r="I40" s="18">
        <f t="shared" si="2"/>
        <v>2038</v>
      </c>
    </row>
    <row r="41" spans="1:9" x14ac:dyDescent="0.35">
      <c r="A41" s="18">
        <v>31</v>
      </c>
      <c r="B41" s="15" t="str">
        <f>Administrasi!B40</f>
        <v>Sri Murhastuti Wahyu Mardikaninggar, S.E.</v>
      </c>
      <c r="C41" s="155" t="str">
        <f>VLOOKUP(B41,Administrasi!$B$10:$X$50,2,0)</f>
        <v>198008162009122001</v>
      </c>
      <c r="D41" s="50" t="str">
        <f>VLOOKUP(B41,Administrasi!$B$10:$X$50,10,0)</f>
        <v>Administrasi</v>
      </c>
      <c r="E41" s="12" t="str">
        <f>VLOOKUP(B41,Administrasi!$B$10:$X$50,5,0)</f>
        <v>Klaten</v>
      </c>
      <c r="F41" s="152">
        <f>VLOOKUP(B41,Administrasi!$B$10:$X$50,6,0)</f>
        <v>29449</v>
      </c>
      <c r="G41" s="153" t="str">
        <f t="shared" si="0"/>
        <v>1980</v>
      </c>
      <c r="H41" s="50" t="str">
        <f t="shared" ca="1" si="1"/>
        <v>44 Tahun, 1 Bulan, 22 Hari</v>
      </c>
      <c r="I41" s="18">
        <f t="shared" si="2"/>
        <v>2038</v>
      </c>
    </row>
    <row r="42" spans="1:9" x14ac:dyDescent="0.35">
      <c r="A42" s="18">
        <v>32</v>
      </c>
      <c r="B42" s="15" t="str">
        <f>Administrasi!B41</f>
        <v>Nurlita Nisa Handini, S.E.</v>
      </c>
      <c r="C42" s="155" t="str">
        <f>VLOOKUP(B42,Administrasi!$B$10:$X$50,2,0)</f>
        <v>198611292009122006</v>
      </c>
      <c r="D42" s="50" t="str">
        <f>VLOOKUP(B42,Administrasi!$B$10:$X$50,10,0)</f>
        <v>Administrasi</v>
      </c>
      <c r="E42" s="12" t="str">
        <f>VLOOKUP(B42,Administrasi!$B$10:$X$50,5,0)</f>
        <v>Sangkulirang</v>
      </c>
      <c r="F42" s="152">
        <f>VLOOKUP(B42,Administrasi!$B$10:$X$50,6,0)</f>
        <v>31745</v>
      </c>
      <c r="G42" s="153" t="str">
        <f t="shared" si="0"/>
        <v>1986</v>
      </c>
      <c r="H42" s="50" t="str">
        <f t="shared" ca="1" si="1"/>
        <v>37 Tahun, 10 Bulan, 9 Hari</v>
      </c>
      <c r="I42" s="18">
        <f t="shared" si="2"/>
        <v>2044</v>
      </c>
    </row>
    <row r="43" spans="1:9" x14ac:dyDescent="0.35">
      <c r="A43" s="18">
        <v>33</v>
      </c>
      <c r="B43" s="15" t="str">
        <f>Administrasi!B42</f>
        <v>Suriansyah</v>
      </c>
      <c r="C43" s="155" t="str">
        <f>VLOOKUP(B43,Administrasi!$B$10:$X$50,2,0)</f>
        <v>197011102000121001</v>
      </c>
      <c r="D43" s="50" t="str">
        <f>VLOOKUP(B43,Administrasi!$B$10:$X$50,10,0)</f>
        <v>Administrasi</v>
      </c>
      <c r="E43" s="12" t="str">
        <f>VLOOKUP(B43,Administrasi!$B$10:$X$50,5,0)</f>
        <v>Samarinda</v>
      </c>
      <c r="F43" s="152">
        <f>VLOOKUP(B43,Administrasi!$B$10:$X$50,6,0)</f>
        <v>25882</v>
      </c>
      <c r="G43" s="153" t="str">
        <f t="shared" si="0"/>
        <v>1970</v>
      </c>
      <c r="H43" s="50" t="str">
        <f t="shared" ca="1" si="1"/>
        <v>53 Tahun, 10 Bulan, 28 Hari</v>
      </c>
      <c r="I43" s="18">
        <f t="shared" si="2"/>
        <v>2028</v>
      </c>
    </row>
    <row r="44" spans="1:9" x14ac:dyDescent="0.35">
      <c r="A44" s="18">
        <v>34</v>
      </c>
      <c r="B44" s="15" t="str">
        <f>Administrasi!B43</f>
        <v>Sudarto, S.S.T.</v>
      </c>
      <c r="C44" s="155" t="str">
        <f>VLOOKUP(B44,Administrasi!$B$10:$X$50,2,0)</f>
        <v>198304252008121002</v>
      </c>
      <c r="D44" s="50" t="str">
        <f>VLOOKUP(B44,Administrasi!$B$10:$X$50,10,0)</f>
        <v>Administrasi</v>
      </c>
      <c r="E44" s="12" t="str">
        <f>VLOOKUP(B44,Administrasi!$B$10:$X$50,5,0)</f>
        <v>Banyuwangi</v>
      </c>
      <c r="F44" s="152">
        <f>VLOOKUP(B44,Administrasi!$B$10:$X$50,6,0)</f>
        <v>30431</v>
      </c>
      <c r="G44" s="153" t="str">
        <f t="shared" si="0"/>
        <v>1983</v>
      </c>
      <c r="H44" s="50" t="str">
        <f t="shared" ca="1" si="1"/>
        <v>41 Tahun, 5 Bulan, 13 Hari</v>
      </c>
      <c r="I44" s="18">
        <f t="shared" si="2"/>
        <v>2041</v>
      </c>
    </row>
    <row r="45" spans="1:9" x14ac:dyDescent="0.35">
      <c r="A45" s="18">
        <v>35</v>
      </c>
      <c r="B45" s="15" t="str">
        <f>Administrasi!B44</f>
        <v>Sisie Karmita, S.S.T.</v>
      </c>
      <c r="C45" s="155" t="str">
        <f>VLOOKUP(B45,Administrasi!$B$10:$X$50,2,0)</f>
        <v>198704272009122004</v>
      </c>
      <c r="D45" s="50" t="str">
        <f>VLOOKUP(B45,Administrasi!$B$10:$X$50,10,0)</f>
        <v>Administrasi</v>
      </c>
      <c r="E45" s="12" t="str">
        <f>VLOOKUP(B45,Administrasi!$B$10:$X$50,5,0)</f>
        <v>Samarinda</v>
      </c>
      <c r="F45" s="152">
        <f>VLOOKUP(B45,Administrasi!$B$10:$X$50,6,0)</f>
        <v>31894</v>
      </c>
      <c r="G45" s="153" t="str">
        <f t="shared" si="0"/>
        <v>1987</v>
      </c>
      <c r="H45" s="50" t="str">
        <f t="shared" ca="1" si="1"/>
        <v>37 Tahun, 5 Bulan, 11 Hari</v>
      </c>
      <c r="I45" s="18">
        <f t="shared" si="2"/>
        <v>2045</v>
      </c>
    </row>
    <row r="46" spans="1:9" x14ac:dyDescent="0.35">
      <c r="A46" s="18">
        <v>36</v>
      </c>
      <c r="B46" s="15" t="str">
        <f>Administrasi!B45</f>
        <v>Irwan, A.Md.</v>
      </c>
      <c r="C46" s="155" t="str">
        <f>VLOOKUP(B46,Administrasi!$B$10:$X$50,2,0)</f>
        <v>198810112010121006</v>
      </c>
      <c r="D46" s="50" t="str">
        <f>VLOOKUP(B46,Administrasi!$B$10:$X$50,10,0)</f>
        <v>Administrasi</v>
      </c>
      <c r="E46" s="12" t="str">
        <f>VLOOKUP(B46,Administrasi!$B$10:$X$50,5,0)</f>
        <v>Kutai Kartanegara</v>
      </c>
      <c r="F46" s="152">
        <f>VLOOKUP(B46,Administrasi!$B$10:$X$50,6,0)</f>
        <v>32427</v>
      </c>
      <c r="G46" s="153" t="str">
        <f t="shared" si="0"/>
        <v>1988</v>
      </c>
      <c r="H46" s="50" t="str">
        <f t="shared" ca="1" si="1"/>
        <v>35 Tahun, 11 Bulan, 27 Hari</v>
      </c>
      <c r="I46" s="18">
        <f t="shared" si="2"/>
        <v>2046</v>
      </c>
    </row>
    <row r="47" spans="1:9" x14ac:dyDescent="0.35">
      <c r="A47" s="18">
        <v>37</v>
      </c>
      <c r="B47" s="15" t="str">
        <f>Administrasi!B46</f>
        <v>Elly Lismawati</v>
      </c>
      <c r="C47" s="155" t="str">
        <f>VLOOKUP(B47,Administrasi!$B$10:$X$50,2,0)</f>
        <v>197203312005012002</v>
      </c>
      <c r="D47" s="50" t="str">
        <f>VLOOKUP(B47,Administrasi!$B$10:$X$50,10,0)</f>
        <v>Administrasi</v>
      </c>
      <c r="E47" s="12" t="str">
        <f>VLOOKUP(B47,Administrasi!$B$10:$X$50,5,0)</f>
        <v>Samarinda</v>
      </c>
      <c r="F47" s="152">
        <f>VLOOKUP(B47,Administrasi!$B$10:$X$50,6,0)</f>
        <v>26389</v>
      </c>
      <c r="G47" s="153" t="str">
        <f t="shared" si="0"/>
        <v>1972</v>
      </c>
      <c r="H47" s="50" t="str">
        <f t="shared" ca="1" si="1"/>
        <v>52 Tahun, 6 Bulan, 7 Hari</v>
      </c>
      <c r="I47" s="18">
        <f t="shared" si="2"/>
        <v>2030</v>
      </c>
    </row>
    <row r="48" spans="1:9" x14ac:dyDescent="0.35">
      <c r="A48" s="18">
        <v>38</v>
      </c>
      <c r="B48" s="15" t="str">
        <f>Administrasi!B47</f>
        <v>Hasanuddin</v>
      </c>
      <c r="C48" s="155" t="str">
        <f>VLOOKUP(B48,Administrasi!$B$10:$X$50,2,0)</f>
        <v>197209032005011002</v>
      </c>
      <c r="D48" s="50" t="str">
        <f>VLOOKUP(B48,Administrasi!$B$10:$X$50,10,0)</f>
        <v>Administrasi</v>
      </c>
      <c r="E48" s="12" t="str">
        <f>VLOOKUP(B48,Administrasi!$B$10:$X$50,5,0)</f>
        <v>Samarinda</v>
      </c>
      <c r="F48" s="152">
        <f>VLOOKUP(B48,Administrasi!$B$10:$X$50,6,0)</f>
        <v>26545</v>
      </c>
      <c r="G48" s="153" t="str">
        <f t="shared" si="0"/>
        <v>1972</v>
      </c>
      <c r="H48" s="50" t="str">
        <f t="shared" ca="1" si="1"/>
        <v>52 Tahun, 1 Bulan, 5 Hari</v>
      </c>
      <c r="I48" s="18">
        <f t="shared" si="2"/>
        <v>2030</v>
      </c>
    </row>
    <row r="49" spans="1:9" x14ac:dyDescent="0.35">
      <c r="A49" s="18">
        <v>39</v>
      </c>
      <c r="B49" s="15" t="str">
        <f>Administrasi!B48</f>
        <v>Fajar Singgih Pangestu, A.Md.AB.</v>
      </c>
      <c r="C49" s="155" t="str">
        <f>VLOOKUP(B49,Administrasi!$B$10:$X$50,2,0)</f>
        <v>199804112022031004</v>
      </c>
      <c r="D49" s="50" t="str">
        <f>VLOOKUP(B49,Administrasi!$B$10:$X$50,10,0)</f>
        <v>Administrasi</v>
      </c>
      <c r="E49" s="12" t="str">
        <f>VLOOKUP(B49,Administrasi!$B$10:$X$50,5,0)</f>
        <v>Purbalingga</v>
      </c>
      <c r="F49" s="152">
        <f>VLOOKUP(B49,Administrasi!$B$10:$X$50,6,0)</f>
        <v>35896</v>
      </c>
      <c r="G49" s="153" t="str">
        <f t="shared" si="0"/>
        <v>1998</v>
      </c>
      <c r="H49" s="50" t="str">
        <f t="shared" ca="1" si="1"/>
        <v>26 Tahun, 5 Bulan, 27 Hari</v>
      </c>
      <c r="I49" s="18">
        <f t="shared" si="2"/>
        <v>2056</v>
      </c>
    </row>
    <row r="50" spans="1:9" x14ac:dyDescent="0.35">
      <c r="A50" s="18">
        <v>40</v>
      </c>
      <c r="B50" s="15" t="str">
        <f>Administrasi!B49</f>
        <v>Yani Puji Lestari, A.Md.</v>
      </c>
      <c r="C50" s="155" t="str">
        <f>VLOOKUP(B50,Administrasi!$B$10:$X$50,2,0)</f>
        <v>199011102022032009</v>
      </c>
      <c r="D50" s="50" t="str">
        <f>VLOOKUP(B50,Administrasi!$B$10:$X$50,10,0)</f>
        <v>Administrasi</v>
      </c>
      <c r="E50" s="12" t="str">
        <f>VLOOKUP(B50,Administrasi!$B$10:$X$50,5,0)</f>
        <v>Samarinda</v>
      </c>
      <c r="F50" s="152">
        <f>VLOOKUP(B50,Administrasi!$B$10:$X$50,6,0)</f>
        <v>33187</v>
      </c>
      <c r="G50" s="153" t="str">
        <f t="shared" si="0"/>
        <v>1990</v>
      </c>
      <c r="H50" s="50" t="str">
        <f t="shared" ca="1" si="1"/>
        <v>33 Tahun, 10 Bulan, 28 Hari</v>
      </c>
      <c r="I50" s="18">
        <f t="shared" si="2"/>
        <v>2048</v>
      </c>
    </row>
    <row r="51" spans="1:9" x14ac:dyDescent="0.35">
      <c r="A51" s="18">
        <v>41</v>
      </c>
      <c r="B51" s="15" t="str">
        <f>Administrasi!B50</f>
        <v>Nur Rizky Annisa, A.Md.A.B.</v>
      </c>
      <c r="C51" s="155" t="str">
        <f>VLOOKUP(B51,Administrasi!$B$10:$X$50,2,0)</f>
        <v>199903192022032006</v>
      </c>
      <c r="D51" s="50" t="str">
        <f>VLOOKUP(B51,Administrasi!$B$10:$X$50,10,0)</f>
        <v>Administrasi</v>
      </c>
      <c r="E51" s="12" t="str">
        <f>VLOOKUP(B51,Administrasi!$B$10:$X$50,5,0)</f>
        <v>Samarinda</v>
      </c>
      <c r="F51" s="152">
        <f>VLOOKUP(B51,Administrasi!$B$10:$X$50,6,0)</f>
        <v>36238</v>
      </c>
      <c r="G51" s="153" t="str">
        <f t="shared" si="0"/>
        <v>1999</v>
      </c>
      <c r="H51" s="50" t="str">
        <f t="shared" ca="1" si="1"/>
        <v>25 Tahun, 6 Bulan, 19 Hari</v>
      </c>
      <c r="I51" s="18">
        <f t="shared" si="2"/>
        <v>2057</v>
      </c>
    </row>
    <row r="52" spans="1:9" x14ac:dyDescent="0.35">
      <c r="A52" s="18">
        <v>42</v>
      </c>
      <c r="B52" s="15" t="str">
        <f>Administrasi!B51</f>
        <v>Herwin Mardhana, S.Kom.</v>
      </c>
      <c r="C52" s="155" t="e">
        <f>VLOOKUP(B52,Administrasi!$B$10:$X$50,2,0)</f>
        <v>#N/A</v>
      </c>
      <c r="D52" s="50" t="e">
        <f>VLOOKUP(B52,Administrasi!$B$10:$X$50,10,0)</f>
        <v>#N/A</v>
      </c>
      <c r="E52" s="12" t="e">
        <f>VLOOKUP(B52,Administrasi!$B$10:$X$50,5,0)</f>
        <v>#N/A</v>
      </c>
      <c r="F52" s="152" t="e">
        <f>VLOOKUP(B52,Administrasi!$B$10:$X$50,6,0)</f>
        <v>#N/A</v>
      </c>
      <c r="G52" s="153" t="e">
        <f t="shared" si="0"/>
        <v>#N/A</v>
      </c>
      <c r="H52" s="50" t="e">
        <f t="shared" ca="1" si="1"/>
        <v>#N/A</v>
      </c>
      <c r="I52" s="18" t="e">
        <f t="shared" si="2"/>
        <v>#N/A</v>
      </c>
    </row>
    <row r="53" spans="1:9" x14ac:dyDescent="0.35">
      <c r="A53" s="18">
        <v>43</v>
      </c>
      <c r="B53" s="15">
        <f>Administrasi!B52</f>
        <v>0</v>
      </c>
      <c r="C53" s="155" t="e">
        <f>VLOOKUP(B53,Administrasi!$B$10:$X$50,2,0)</f>
        <v>#N/A</v>
      </c>
      <c r="D53" s="50" t="e">
        <f>VLOOKUP(B53,Administrasi!$B$10:$X$50,10,0)</f>
        <v>#N/A</v>
      </c>
      <c r="E53" s="12" t="e">
        <f>VLOOKUP(B53,Administrasi!$B$10:$X$50,5,0)</f>
        <v>#N/A</v>
      </c>
      <c r="F53" s="152" t="e">
        <f>VLOOKUP(B53,Administrasi!$B$10:$X$50,6,0)</f>
        <v>#N/A</v>
      </c>
      <c r="G53" s="153" t="e">
        <f t="shared" si="0"/>
        <v>#N/A</v>
      </c>
      <c r="H53" s="50" t="e">
        <f t="shared" ca="1" si="1"/>
        <v>#N/A</v>
      </c>
      <c r="I53" s="18" t="e">
        <f t="shared" si="2"/>
        <v>#N/A</v>
      </c>
    </row>
    <row r="54" spans="1:9" x14ac:dyDescent="0.35">
      <c r="A54" s="18">
        <v>44</v>
      </c>
      <c r="B54" s="15">
        <f>Administrasi!B53</f>
        <v>0</v>
      </c>
      <c r="C54" s="155" t="e">
        <f>VLOOKUP(B54,Administrasi!$B$10:$X$50,2,0)</f>
        <v>#N/A</v>
      </c>
      <c r="D54" s="50" t="e">
        <f>VLOOKUP(B54,Administrasi!$B$10:$X$50,10,0)</f>
        <v>#N/A</v>
      </c>
      <c r="E54" s="12" t="e">
        <f>VLOOKUP(B54,Administrasi!$B$10:$X$50,5,0)</f>
        <v>#N/A</v>
      </c>
      <c r="F54" s="152" t="e">
        <f>VLOOKUP(B54,Administrasi!$B$10:$X$50,6,0)</f>
        <v>#N/A</v>
      </c>
      <c r="G54" s="153" t="e">
        <f t="shared" si="0"/>
        <v>#N/A</v>
      </c>
      <c r="H54" s="50" t="e">
        <f t="shared" ca="1" si="1"/>
        <v>#N/A</v>
      </c>
      <c r="I54" s="18" t="e">
        <f t="shared" si="2"/>
        <v>#N/A</v>
      </c>
    </row>
    <row r="55" spans="1:9" x14ac:dyDescent="0.35">
      <c r="A55" s="18">
        <v>45</v>
      </c>
      <c r="B55" s="15">
        <f>Administrasi!B54</f>
        <v>0</v>
      </c>
      <c r="C55" s="155" t="e">
        <f>VLOOKUP(B55,Administrasi!$B$10:$X$50,2,0)</f>
        <v>#N/A</v>
      </c>
      <c r="D55" s="50" t="e">
        <f>VLOOKUP(B55,Administrasi!$B$10:$X$50,10,0)</f>
        <v>#N/A</v>
      </c>
      <c r="E55" s="12" t="e">
        <f>VLOOKUP(B55,Administrasi!$B$10:$X$50,5,0)</f>
        <v>#N/A</v>
      </c>
      <c r="F55" s="152" t="e">
        <f>VLOOKUP(B55,Administrasi!$B$10:$X$50,6,0)</f>
        <v>#N/A</v>
      </c>
      <c r="G55" s="153" t="e">
        <f t="shared" si="0"/>
        <v>#N/A</v>
      </c>
      <c r="H55" s="50" t="e">
        <f t="shared" ca="1" si="1"/>
        <v>#N/A</v>
      </c>
      <c r="I55" s="18" t="e">
        <f t="shared" si="2"/>
        <v>#N/A</v>
      </c>
    </row>
    <row r="56" spans="1:9" x14ac:dyDescent="0.35">
      <c r="A56" s="18">
        <v>46</v>
      </c>
      <c r="B56" s="15">
        <f>Administrasi!B55</f>
        <v>0</v>
      </c>
      <c r="C56" s="155" t="e">
        <f>VLOOKUP(B56,Administrasi!$B$10:$X$50,2,0)</f>
        <v>#N/A</v>
      </c>
      <c r="D56" s="50" t="e">
        <f>VLOOKUP(B56,Administrasi!$B$10:$X$50,10,0)</f>
        <v>#N/A</v>
      </c>
      <c r="E56" s="12" t="e">
        <f>VLOOKUP(B56,Administrasi!$B$10:$X$50,5,0)</f>
        <v>#N/A</v>
      </c>
      <c r="F56" s="152" t="e">
        <f>VLOOKUP(B56,Administrasi!$B$10:$X$50,6,0)</f>
        <v>#N/A</v>
      </c>
      <c r="G56" s="153" t="e">
        <f t="shared" si="0"/>
        <v>#N/A</v>
      </c>
      <c r="H56" s="50" t="e">
        <f t="shared" ca="1" si="1"/>
        <v>#N/A</v>
      </c>
      <c r="I56" s="18" t="e">
        <f t="shared" si="2"/>
        <v>#N/A</v>
      </c>
    </row>
    <row r="57" spans="1:9" x14ac:dyDescent="0.35">
      <c r="F57" s="16"/>
      <c r="G57" s="16"/>
    </row>
    <row r="58" spans="1:9" x14ac:dyDescent="0.35">
      <c r="F58" s="16"/>
      <c r="G58" s="16"/>
    </row>
    <row r="59" spans="1:9" x14ac:dyDescent="0.35">
      <c r="F59" s="16"/>
      <c r="G59" s="16"/>
    </row>
    <row r="60" spans="1:9" x14ac:dyDescent="0.35">
      <c r="A60" s="36" t="s">
        <v>1131</v>
      </c>
      <c r="F60" s="16"/>
      <c r="G60" s="16"/>
    </row>
    <row r="61" spans="1:9" x14ac:dyDescent="0.35">
      <c r="A61" s="325" t="s">
        <v>13</v>
      </c>
      <c r="B61" s="416" t="s">
        <v>14</v>
      </c>
      <c r="C61" s="417" t="s">
        <v>19</v>
      </c>
      <c r="D61" s="419" t="s">
        <v>27</v>
      </c>
      <c r="E61" s="420" t="s">
        <v>16</v>
      </c>
      <c r="F61" s="421" t="s">
        <v>17</v>
      </c>
      <c r="G61" s="422"/>
      <c r="H61" s="325" t="s">
        <v>26</v>
      </c>
      <c r="I61" s="325" t="s">
        <v>1129</v>
      </c>
    </row>
    <row r="62" spans="1:9" x14ac:dyDescent="0.35">
      <c r="A62" s="325"/>
      <c r="B62" s="416"/>
      <c r="C62" s="418"/>
      <c r="D62" s="326"/>
      <c r="E62" s="420"/>
      <c r="F62" s="423"/>
      <c r="G62" s="424"/>
      <c r="H62" s="325"/>
      <c r="I62" s="325"/>
    </row>
    <row r="63" spans="1:9" ht="16" thickBot="1" x14ac:dyDescent="0.4">
      <c r="A63" s="102">
        <v>1</v>
      </c>
      <c r="B63" s="147">
        <v>2</v>
      </c>
      <c r="C63" s="148">
        <v>3</v>
      </c>
      <c r="D63" s="102">
        <v>4</v>
      </c>
      <c r="E63" s="150">
        <v>5</v>
      </c>
      <c r="F63" s="147">
        <v>6</v>
      </c>
      <c r="G63" s="149">
        <v>7</v>
      </c>
      <c r="H63" s="147">
        <v>8</v>
      </c>
      <c r="I63" s="102">
        <v>9</v>
      </c>
    </row>
    <row r="64" spans="1:9" ht="16" thickTop="1" x14ac:dyDescent="0.35">
      <c r="A64" s="18">
        <v>1</v>
      </c>
      <c r="B64" s="15" t="str">
        <f>Pustakawan!B10</f>
        <v>Yunus, S.Sos</v>
      </c>
      <c r="C64" s="155" t="str">
        <f>VLOOKUP(B64,Pustakawan!$B$10:$Y$54,2,0)</f>
        <v>197401082001121002</v>
      </c>
      <c r="D64" s="50" t="str">
        <f>VLOOKUP(B64,Pustakawan!$B$10:$X$54,10,0)</f>
        <v>Pustakawan</v>
      </c>
      <c r="E64" s="12" t="str">
        <f>VLOOKUP(B64,Pustakawan!$B$10:$X$54,5,0)</f>
        <v>lajoa</v>
      </c>
      <c r="F64" s="152">
        <f>VLOOKUP(B64,Pustakawan!$B$10:$X$54,6,0)</f>
        <v>27037</v>
      </c>
      <c r="G64" s="153" t="str">
        <f>MID(C64,1,4)</f>
        <v>1974</v>
      </c>
      <c r="H64" s="50" t="str">
        <f ca="1">DATEDIF(F64,$A$5,"Y") &amp;" Tahun, "&amp;DATEDIF(F64,$A$5,"YM") &amp;" Bulan, "&amp;DATEDIF(F64,$A$5,"MD") &amp;" Hari"</f>
        <v>50 Tahun, 9 Bulan, 0 Hari</v>
      </c>
      <c r="I64" s="18">
        <f>IF(D64="Pustakawan",G64+58,G64+60)</f>
        <v>2032</v>
      </c>
    </row>
    <row r="65" spans="1:9" x14ac:dyDescent="0.35">
      <c r="A65" s="18">
        <v>2</v>
      </c>
      <c r="B65" s="15" t="str">
        <f>Pustakawan!B11</f>
        <v>Riris Wahyu Prihatin, A.Md</v>
      </c>
      <c r="C65" s="155" t="str">
        <f>VLOOKUP(B65,Pustakawan!$B$10:$Y$54,2,0)</f>
        <v>197409282002122002</v>
      </c>
      <c r="D65" s="50" t="str">
        <f>VLOOKUP(B65,Pustakawan!$B$10:$X$54,10,0)</f>
        <v>Pustakawan</v>
      </c>
      <c r="E65" s="12" t="str">
        <f>VLOOKUP(B65,Pustakawan!$B$10:$X$54,5,0)</f>
        <v>Blora</v>
      </c>
      <c r="F65" s="152">
        <f>VLOOKUP(B65,Pustakawan!$B$10:$X$54,6,0)</f>
        <v>27300</v>
      </c>
      <c r="G65" s="153" t="str">
        <f>MID(C65,1,4)</f>
        <v>1974</v>
      </c>
      <c r="H65" s="50" t="str">
        <f ca="1">DATEDIF(F65,$A$5,"Y") &amp;" Tahun, "&amp;DATEDIF(F65,$A$5,"YM") &amp;" Bulan, "&amp;DATEDIF(F65,$A$5,"MD") &amp;" Hari"</f>
        <v>50 Tahun, 0 Bulan, 10 Hari</v>
      </c>
      <c r="I65" s="18">
        <f>IF(D65="Pustakawan",G65+58,G65+60)</f>
        <v>2032</v>
      </c>
    </row>
    <row r="66" spans="1:9" x14ac:dyDescent="0.35">
      <c r="A66" s="18">
        <v>3</v>
      </c>
      <c r="B66" s="15" t="str">
        <f>Pustakawan!B12</f>
        <v>Jibril Pribadi, S.I.Pus</v>
      </c>
      <c r="C66" s="155" t="str">
        <f>VLOOKUP(B66, Pustakawan!$B$10:$Y$54,2,0)</f>
        <v>199312122019031015</v>
      </c>
      <c r="D66" s="50" t="str">
        <f>VLOOKUP(B66,Pustakawan!$B$10:$X$54,10,0)</f>
        <v>Pustakawan</v>
      </c>
      <c r="E66" s="12" t="str">
        <f>VLOOKUP(B66,Pustakawan!$B$10:$X$54,5,0)</f>
        <v>Samarinda</v>
      </c>
      <c r="F66" s="152">
        <f>VLOOKUP(B66,Pustakawan!$B$10:$X$54,6,0)</f>
        <v>34315</v>
      </c>
      <c r="G66" s="153" t="str">
        <f>MID(C66,1,4)</f>
        <v>1993</v>
      </c>
      <c r="H66" s="50" t="str">
        <f ca="1">DATEDIF(F66,$A$5,"Y") &amp;" Tahun, "&amp;DATEDIF(F66,$A$5,"YM") &amp;" Bulan, "&amp;DATEDIF(F66,$A$5,"MD") &amp;" Hari"</f>
        <v>30 Tahun, 9 Bulan, 26 Hari</v>
      </c>
      <c r="I66" s="18">
        <f>IF(D66="Pustakawan",G66+58,G66+60)</f>
        <v>2051</v>
      </c>
    </row>
    <row r="70" spans="1:9" x14ac:dyDescent="0.35">
      <c r="A70" s="36" t="s">
        <v>910</v>
      </c>
      <c r="F70" s="16"/>
      <c r="G70" s="16"/>
    </row>
    <row r="71" spans="1:9" x14ac:dyDescent="0.35">
      <c r="A71" s="325" t="s">
        <v>13</v>
      </c>
      <c r="B71" s="416" t="s">
        <v>14</v>
      </c>
      <c r="C71" s="417" t="s">
        <v>19</v>
      </c>
      <c r="D71" s="419" t="s">
        <v>27</v>
      </c>
      <c r="E71" s="420" t="s">
        <v>16</v>
      </c>
      <c r="F71" s="421" t="s">
        <v>17</v>
      </c>
      <c r="G71" s="422"/>
      <c r="H71" s="325" t="s">
        <v>26</v>
      </c>
      <c r="I71" s="325" t="s">
        <v>1129</v>
      </c>
    </row>
    <row r="72" spans="1:9" x14ac:dyDescent="0.35">
      <c r="A72" s="325"/>
      <c r="B72" s="416"/>
      <c r="C72" s="418"/>
      <c r="D72" s="326"/>
      <c r="E72" s="420"/>
      <c r="F72" s="423"/>
      <c r="G72" s="424"/>
      <c r="H72" s="325"/>
      <c r="I72" s="325"/>
    </row>
    <row r="73" spans="1:9" ht="16" thickBot="1" x14ac:dyDescent="0.4">
      <c r="A73" s="102">
        <v>1</v>
      </c>
      <c r="B73" s="147">
        <v>2</v>
      </c>
      <c r="C73" s="148">
        <v>3</v>
      </c>
      <c r="D73" s="102">
        <v>4</v>
      </c>
      <c r="E73" s="150">
        <v>5</v>
      </c>
      <c r="F73" s="147">
        <v>6</v>
      </c>
      <c r="G73" s="149">
        <v>7</v>
      </c>
      <c r="H73" s="147">
        <v>8</v>
      </c>
      <c r="I73" s="102">
        <v>9</v>
      </c>
    </row>
    <row r="74" spans="1:9" ht="16" thickTop="1" x14ac:dyDescent="0.35">
      <c r="A74" s="18">
        <v>1</v>
      </c>
      <c r="B74" s="15" t="e">
        <f>Plp!#REF!</f>
        <v>#REF!</v>
      </c>
      <c r="C74" s="155" t="e">
        <f>VLOOKUP(B74,Plp!$B$10:$Z$117,2,0)</f>
        <v>#REF!</v>
      </c>
      <c r="D74" s="50" t="e">
        <f>VLOOKUP(B74,Plp!$B$10:$Z$117,10,0)</f>
        <v>#REF!</v>
      </c>
      <c r="E74" s="12" t="e">
        <f>VLOOKUP(B74,Plp!$B$10:$Y$117,5,0)</f>
        <v>#REF!</v>
      </c>
      <c r="F74" s="152" t="e">
        <f>VLOOKUP(B74,Plp!$B$10:$Y$117,6,0)</f>
        <v>#REF!</v>
      </c>
      <c r="G74" s="153" t="e">
        <f t="shared" ref="G74:G105" si="3">MID(C74,1,4)</f>
        <v>#REF!</v>
      </c>
      <c r="H74" s="50" t="e">
        <f t="shared" ref="H74:H105" ca="1" si="4">DATEDIF(F74,$A$5,"Y") &amp;" Tahun, "&amp;DATEDIF(F74,$A$5,"YM") &amp;" Bulan, "&amp;DATEDIF(F74,$A$5,"MD") &amp;" Hari"</f>
        <v>#REF!</v>
      </c>
      <c r="I74" s="18" t="e">
        <f>IF(D74="PLP",G74+58,G74+60)</f>
        <v>#REF!</v>
      </c>
    </row>
    <row r="75" spans="1:9" x14ac:dyDescent="0.35">
      <c r="A75" s="18">
        <v>2</v>
      </c>
      <c r="B75" s="15" t="str">
        <f>Plp!B31</f>
        <v>Atak Sumedi, S.P., M.P.</v>
      </c>
      <c r="C75" s="155" t="str">
        <f>VLOOKUP(B75,Plp!$B$10:$Z$117,2,0)</f>
        <v>196509201989021002</v>
      </c>
      <c r="D75" s="50" t="str">
        <f>VLOOKUP(B75,Plp!$B$10:$Z$117,10,0)</f>
        <v>PLP Madya</v>
      </c>
      <c r="E75" s="12" t="str">
        <f>VLOOKUP(B75,Plp!$B$10:$Y$117,5,0)</f>
        <v>Surabaya</v>
      </c>
      <c r="F75" s="152">
        <f>VLOOKUP(B75,Plp!$B$10:$Y$117,6,0)</f>
        <v>24005</v>
      </c>
      <c r="G75" s="153" t="str">
        <f t="shared" si="3"/>
        <v>1965</v>
      </c>
      <c r="H75" s="50" t="str">
        <f t="shared" ca="1" si="4"/>
        <v>59 Tahun, 0 Bulan, 18 Hari</v>
      </c>
      <c r="I75" s="18">
        <f t="shared" ref="I75:I122" si="5">IF(D75="PLP",G75+58,G75+60)</f>
        <v>2025</v>
      </c>
    </row>
    <row r="76" spans="1:9" x14ac:dyDescent="0.35">
      <c r="A76" s="18">
        <v>3</v>
      </c>
      <c r="B76" s="15" t="str">
        <f>Plp!B12</f>
        <v>Dadang Ruchyat, S.P.</v>
      </c>
      <c r="C76" s="155" t="str">
        <f>VLOOKUP(B76,Plp!$B$10:$Z$117,2,0)</f>
        <v>196610201992031002</v>
      </c>
      <c r="D76" s="50" t="str">
        <f>VLOOKUP(B76,Plp!$B$10:$Z$117,10,0)</f>
        <v>PLP Madya</v>
      </c>
      <c r="E76" s="12" t="str">
        <f>VLOOKUP(B76,Plp!$B$10:$Y$117,5,0)</f>
        <v>Bogor</v>
      </c>
      <c r="F76" s="152">
        <f>VLOOKUP(B76,Plp!$B$10:$Y$117,6,0)</f>
        <v>24400</v>
      </c>
      <c r="G76" s="153" t="str">
        <f t="shared" si="3"/>
        <v>1966</v>
      </c>
      <c r="H76" s="50" t="str">
        <f t="shared" ca="1" si="4"/>
        <v>57 Tahun, 11 Bulan, 18 Hari</v>
      </c>
      <c r="I76" s="18">
        <f t="shared" si="5"/>
        <v>2026</v>
      </c>
    </row>
    <row r="77" spans="1:9" x14ac:dyDescent="0.35">
      <c r="A77" s="18">
        <v>4</v>
      </c>
      <c r="B77" s="15" t="str">
        <f>Plp!B13</f>
        <v>Dominikus Damat, S.P.</v>
      </c>
      <c r="C77" s="155" t="str">
        <f>VLOOKUP(B77,Plp!$B$10:$Z$117,2,0)</f>
        <v>196610091991031003</v>
      </c>
      <c r="D77" s="50" t="str">
        <f>VLOOKUP(B77,Plp!$B$10:$Z$117,10,0)</f>
        <v>PLP</v>
      </c>
      <c r="E77" s="12" t="str">
        <f>VLOOKUP(B77,Plp!$B$10:$Y$117,5,0)</f>
        <v>Flores</v>
      </c>
      <c r="F77" s="152">
        <f>VLOOKUP(B77,Plp!$B$10:$Y$117,6,0)</f>
        <v>24389</v>
      </c>
      <c r="G77" s="153" t="str">
        <f t="shared" si="3"/>
        <v>1966</v>
      </c>
      <c r="H77" s="50" t="str">
        <f t="shared" ca="1" si="4"/>
        <v>57 Tahun, 11 Bulan, 29 Hari</v>
      </c>
      <c r="I77" s="18">
        <f t="shared" si="5"/>
        <v>2024</v>
      </c>
    </row>
    <row r="78" spans="1:9" x14ac:dyDescent="0.35">
      <c r="A78" s="18">
        <v>5</v>
      </c>
      <c r="B78" s="15" t="e">
        <f>Plp!#REF!</f>
        <v>#REF!</v>
      </c>
      <c r="C78" s="155" t="e">
        <f>VLOOKUP(B78,Plp!$B$10:$Z$117,2,0)</f>
        <v>#REF!</v>
      </c>
      <c r="D78" s="50" t="e">
        <f>VLOOKUP(B78,Plp!$B$10:$Z$117,10,0)</f>
        <v>#REF!</v>
      </c>
      <c r="E78" s="12" t="e">
        <f>VLOOKUP(B78,Plp!$B$10:$Y$117,5,0)</f>
        <v>#REF!</v>
      </c>
      <c r="F78" s="152" t="e">
        <f>VLOOKUP(B78,Plp!$B$10:$Y$117,6,0)</f>
        <v>#REF!</v>
      </c>
      <c r="G78" s="153" t="e">
        <f t="shared" si="3"/>
        <v>#REF!</v>
      </c>
      <c r="H78" s="50" t="e">
        <f t="shared" ca="1" si="4"/>
        <v>#REF!</v>
      </c>
      <c r="I78" s="18" t="e">
        <f t="shared" si="5"/>
        <v>#REF!</v>
      </c>
    </row>
    <row r="79" spans="1:9" x14ac:dyDescent="0.35">
      <c r="A79" s="18">
        <v>6</v>
      </c>
      <c r="B79" s="15" t="e">
        <f>Plp!#REF!</f>
        <v>#REF!</v>
      </c>
      <c r="C79" s="155" t="e">
        <f>VLOOKUP(B79,Plp!$B$10:$Z$117,2,0)</f>
        <v>#REF!</v>
      </c>
      <c r="D79" s="50" t="e">
        <f>VLOOKUP(B79,Plp!$B$10:$Z$117,10,0)</f>
        <v>#REF!</v>
      </c>
      <c r="E79" s="12" t="e">
        <f>VLOOKUP(B79,Plp!$B$10:$Y$117,5,0)</f>
        <v>#REF!</v>
      </c>
      <c r="F79" s="152" t="e">
        <f>VLOOKUP(B79,Plp!$B$10:$Y$117,6,0)</f>
        <v>#REF!</v>
      </c>
      <c r="G79" s="153" t="e">
        <f t="shared" si="3"/>
        <v>#REF!</v>
      </c>
      <c r="H79" s="50" t="e">
        <f t="shared" ca="1" si="4"/>
        <v>#REF!</v>
      </c>
      <c r="I79" s="18" t="e">
        <f t="shared" si="5"/>
        <v>#REF!</v>
      </c>
    </row>
    <row r="80" spans="1:9" x14ac:dyDescent="0.35">
      <c r="A80" s="18">
        <v>7</v>
      </c>
      <c r="B80" s="15" t="str">
        <f>Plp!B33</f>
        <v>Kuddus</v>
      </c>
      <c r="C80" s="155" t="str">
        <f>VLOOKUP(B80,Plp!$B$10:$Z$117,2,0)</f>
        <v>196611121991031005</v>
      </c>
      <c r="D80" s="50" t="str">
        <f>VLOOKUP(B80,Plp!$B$10:$Z$117,10,0)</f>
        <v>PLP</v>
      </c>
      <c r="E80" s="12" t="str">
        <f>VLOOKUP(B80,Plp!$B$10:$Y$117,5,0)</f>
        <v>Polewali Mamasa</v>
      </c>
      <c r="F80" s="152">
        <f>VLOOKUP(B80,Plp!$B$10:$Y$117,6,0)</f>
        <v>24423</v>
      </c>
      <c r="G80" s="153" t="str">
        <f t="shared" si="3"/>
        <v>1966</v>
      </c>
      <c r="H80" s="50" t="str">
        <f t="shared" ca="1" si="4"/>
        <v>57 Tahun, 10 Bulan, 26 Hari</v>
      </c>
      <c r="I80" s="18">
        <f t="shared" si="5"/>
        <v>2024</v>
      </c>
    </row>
    <row r="81" spans="1:9" x14ac:dyDescent="0.35">
      <c r="A81" s="18">
        <v>8</v>
      </c>
      <c r="B81" s="15" t="str">
        <f>Plp!B14</f>
        <v>Abdul Kadir Jailani, A.Md.</v>
      </c>
      <c r="C81" s="155" t="str">
        <f>VLOOKUP(B81,Plp!$B$10:$Z$117,2,0)</f>
        <v>196710071990021001</v>
      </c>
      <c r="D81" s="50" t="str">
        <f>VLOOKUP(B81,Plp!$B$10:$Z$117,10,0)</f>
        <v>PLP</v>
      </c>
      <c r="E81" s="12" t="str">
        <f>VLOOKUP(B81,Plp!$B$10:$Y$117,5,0)</f>
        <v>Kutai Barat</v>
      </c>
      <c r="F81" s="152">
        <f>VLOOKUP(B81,Plp!$B$10:$Y$117,6,0)</f>
        <v>24752</v>
      </c>
      <c r="G81" s="153" t="str">
        <f t="shared" si="3"/>
        <v>1967</v>
      </c>
      <c r="H81" s="50" t="str">
        <f t="shared" ca="1" si="4"/>
        <v>57 Tahun, 0 Bulan, 1 Hari</v>
      </c>
      <c r="I81" s="18">
        <f t="shared" si="5"/>
        <v>2025</v>
      </c>
    </row>
    <row r="82" spans="1:9" x14ac:dyDescent="0.35">
      <c r="A82" s="18">
        <v>9</v>
      </c>
      <c r="B82" s="15" t="str">
        <f>Plp!B16</f>
        <v>Hamidah, A.Md.</v>
      </c>
      <c r="C82" s="155" t="str">
        <f>VLOOKUP(B82,Plp!$B$10:$Z$117,2,0)</f>
        <v>196710281989022001</v>
      </c>
      <c r="D82" s="50" t="str">
        <f>VLOOKUP(B82,Plp!$B$10:$Z$117,10,0)</f>
        <v>PLP</v>
      </c>
      <c r="E82" s="12" t="str">
        <f>VLOOKUP(B82,Plp!$B$10:$Y$117,5,0)</f>
        <v>Long Iram</v>
      </c>
      <c r="F82" s="152">
        <f>VLOOKUP(B82,Plp!$B$10:$Y$117,6,0)</f>
        <v>24773</v>
      </c>
      <c r="G82" s="153" t="str">
        <f t="shared" si="3"/>
        <v>1967</v>
      </c>
      <c r="H82" s="50" t="str">
        <f t="shared" ca="1" si="4"/>
        <v>56 Tahun, 11 Bulan, 10 Hari</v>
      </c>
      <c r="I82" s="18">
        <f t="shared" si="5"/>
        <v>2025</v>
      </c>
    </row>
    <row r="83" spans="1:9" x14ac:dyDescent="0.35">
      <c r="A83" s="18">
        <v>10</v>
      </c>
      <c r="B83" s="15" t="str">
        <f>Plp!B32</f>
        <v>Jembawan, S.Hut.</v>
      </c>
      <c r="C83" s="155" t="str">
        <f>VLOOKUP(B83,Plp!$B$10:$Z$117,2,0)</f>
        <v>196705281989021001</v>
      </c>
      <c r="D83" s="50" t="str">
        <f>VLOOKUP(B83,Plp!$B$10:$Z$117,10,0)</f>
        <v>PLP</v>
      </c>
      <c r="E83" s="12" t="str">
        <f>VLOOKUP(B83,Plp!$B$10:$Y$117,5,0)</f>
        <v>Kunduran</v>
      </c>
      <c r="F83" s="152">
        <f>VLOOKUP(B83,Plp!$B$10:$Y$117,6,0)</f>
        <v>24620</v>
      </c>
      <c r="G83" s="153" t="str">
        <f t="shared" si="3"/>
        <v>1967</v>
      </c>
      <c r="H83" s="50" t="str">
        <f t="shared" ca="1" si="4"/>
        <v>57 Tahun, 4 Bulan, 10 Hari</v>
      </c>
      <c r="I83" s="18">
        <f t="shared" si="5"/>
        <v>2025</v>
      </c>
    </row>
    <row r="84" spans="1:9" x14ac:dyDescent="0.35">
      <c r="A84" s="18">
        <v>11</v>
      </c>
      <c r="B84" s="15" t="str">
        <f>Plp!B35</f>
        <v>Alfrida, S.E.</v>
      </c>
      <c r="C84" s="155" t="str">
        <f>VLOOKUP(B84,Plp!$B$10:$Z$117,2,0)</f>
        <v>196703051989022001</v>
      </c>
      <c r="D84" s="50" t="str">
        <f>VLOOKUP(B84,Plp!$B$10:$Z$117,10,0)</f>
        <v>PLP</v>
      </c>
      <c r="E84" s="12" t="str">
        <f>VLOOKUP(B84,Plp!$B$10:$Y$117,5,0)</f>
        <v>Samarinda</v>
      </c>
      <c r="F84" s="152">
        <f>VLOOKUP(B84,Plp!$B$10:$Y$117,6,0)</f>
        <v>24536</v>
      </c>
      <c r="G84" s="153" t="str">
        <f t="shared" si="3"/>
        <v>1967</v>
      </c>
      <c r="H84" s="50" t="str">
        <f t="shared" ca="1" si="4"/>
        <v>57 Tahun, 7 Bulan, 3 Hari</v>
      </c>
      <c r="I84" s="18">
        <f t="shared" si="5"/>
        <v>2025</v>
      </c>
    </row>
    <row r="85" spans="1:9" x14ac:dyDescent="0.35">
      <c r="A85" s="18">
        <v>12</v>
      </c>
      <c r="B85" s="15" t="str">
        <f>Plp!B39</f>
        <v>Wagiman, S.P.</v>
      </c>
      <c r="C85" s="155" t="str">
        <f>VLOOKUP(B85,Plp!$B$10:$Z$117,2,0)</f>
        <v>196712161991031001</v>
      </c>
      <c r="D85" s="50" t="str">
        <f>VLOOKUP(B85,Plp!$B$10:$Z$117,10,0)</f>
        <v>PLP</v>
      </c>
      <c r="E85" s="12" t="str">
        <f>VLOOKUP(B85,Plp!$B$10:$Y$117,5,0)</f>
        <v>Bantul</v>
      </c>
      <c r="F85" s="152">
        <f>VLOOKUP(B85,Plp!$B$10:$Y$117,6,0)</f>
        <v>24822</v>
      </c>
      <c r="G85" s="153" t="str">
        <f t="shared" si="3"/>
        <v>1967</v>
      </c>
      <c r="H85" s="50" t="str">
        <f t="shared" ca="1" si="4"/>
        <v>56 Tahun, 9 Bulan, 22 Hari</v>
      </c>
      <c r="I85" s="18">
        <f t="shared" si="5"/>
        <v>2025</v>
      </c>
    </row>
    <row r="86" spans="1:9" x14ac:dyDescent="0.35">
      <c r="A86" s="18">
        <v>13</v>
      </c>
      <c r="B86" s="15" t="str">
        <f>Plp!B37</f>
        <v>Miswansyah</v>
      </c>
      <c r="C86" s="155" t="str">
        <f>VLOOKUP(B86,Plp!$B$10:$Z$117,2,0)</f>
        <v>196802291990021001</v>
      </c>
      <c r="D86" s="50" t="str">
        <f>VLOOKUP(B86,Plp!$B$10:$Z$117,10,0)</f>
        <v>PLP</v>
      </c>
      <c r="E86" s="12" t="str">
        <f>VLOOKUP(B86,Plp!$B$10:$Y$117,5,0)</f>
        <v>Samarinda</v>
      </c>
      <c r="F86" s="152">
        <f>VLOOKUP(B86,Plp!$B$10:$Y$117,6,0)</f>
        <v>24897</v>
      </c>
      <c r="G86" s="153" t="str">
        <f t="shared" si="3"/>
        <v>1968</v>
      </c>
      <c r="H86" s="50" t="str">
        <f t="shared" ca="1" si="4"/>
        <v>56 Tahun, 7 Bulan, 9 Hari</v>
      </c>
      <c r="I86" s="18">
        <f t="shared" si="5"/>
        <v>2026</v>
      </c>
    </row>
    <row r="87" spans="1:9" x14ac:dyDescent="0.35">
      <c r="A87" s="18">
        <v>14</v>
      </c>
      <c r="B87" s="15" t="str">
        <f>Plp!B76</f>
        <v>Mundjanah, S.P.</v>
      </c>
      <c r="C87" s="155" t="str">
        <f>VLOOKUP(B87,Plp!$B$10:$Z$117,2,0)</f>
        <v>196907092002122001</v>
      </c>
      <c r="D87" s="50" t="str">
        <f>VLOOKUP(B87,Plp!$B$10:$Z$117,10,0)</f>
        <v>PLP</v>
      </c>
      <c r="E87" s="12" t="str">
        <f>VLOOKUP(B87,Plp!$B$10:$Y$117,5,0)</f>
        <v>Magelang</v>
      </c>
      <c r="F87" s="152">
        <f>VLOOKUP(B87,Plp!$B$10:$Y$117,6,0)</f>
        <v>25393</v>
      </c>
      <c r="G87" s="153" t="str">
        <f t="shared" si="3"/>
        <v>1969</v>
      </c>
      <c r="H87" s="50" t="str">
        <f t="shared" ca="1" si="4"/>
        <v>55 Tahun, 2 Bulan, 29 Hari</v>
      </c>
      <c r="I87" s="18">
        <f t="shared" si="5"/>
        <v>2027</v>
      </c>
    </row>
    <row r="88" spans="1:9" x14ac:dyDescent="0.35">
      <c r="A88" s="18">
        <v>15</v>
      </c>
      <c r="B88" s="15" t="str">
        <f>Plp!B15</f>
        <v>Hj. Siti Fatimah, A.Md.</v>
      </c>
      <c r="C88" s="155" t="str">
        <f>VLOOKUP(B88,Plp!$B$10:$Z$117,2,0)</f>
        <v>197010191990022001</v>
      </c>
      <c r="D88" s="50" t="str">
        <f>VLOOKUP(B88,Plp!$B$10:$Z$117,10,0)</f>
        <v>PLP</v>
      </c>
      <c r="E88" s="12" t="str">
        <f>VLOOKUP(B88,Plp!$B$10:$Y$117,5,0)</f>
        <v>Samarinda</v>
      </c>
      <c r="F88" s="152">
        <f>VLOOKUP(B88,Plp!$B$10:$Y$117,6,0)</f>
        <v>25860</v>
      </c>
      <c r="G88" s="153" t="str">
        <f t="shared" si="3"/>
        <v>1970</v>
      </c>
      <c r="H88" s="50" t="str">
        <f t="shared" ca="1" si="4"/>
        <v>53 Tahun, 11 Bulan, 19 Hari</v>
      </c>
      <c r="I88" s="18">
        <f t="shared" si="5"/>
        <v>2028</v>
      </c>
    </row>
    <row r="89" spans="1:9" x14ac:dyDescent="0.35">
      <c r="A89" s="18">
        <v>16</v>
      </c>
      <c r="B89" s="15" t="str">
        <f>Plp!B18</f>
        <v>Mohammad Zulfi Ilham, A.Md.</v>
      </c>
      <c r="C89" s="155" t="str">
        <f>VLOOKUP(B89,Plp!$B$10:$Z$117,2,0)</f>
        <v>197004291991031002</v>
      </c>
      <c r="D89" s="50" t="str">
        <f>VLOOKUP(B89,Plp!$B$10:$Z$117,10,0)</f>
        <v>PLP</v>
      </c>
      <c r="E89" s="12" t="str">
        <f>VLOOKUP(B89,Plp!$B$10:$Y$117,5,0)</f>
        <v>Samarinda</v>
      </c>
      <c r="F89" s="152">
        <f>VLOOKUP(B89,Plp!$B$10:$Y$117,6,0)</f>
        <v>25687</v>
      </c>
      <c r="G89" s="153" t="str">
        <f t="shared" si="3"/>
        <v>1970</v>
      </c>
      <c r="H89" s="50" t="str">
        <f t="shared" ca="1" si="4"/>
        <v>54 Tahun, 5 Bulan, 9 Hari</v>
      </c>
      <c r="I89" s="18">
        <f t="shared" si="5"/>
        <v>2028</v>
      </c>
    </row>
    <row r="90" spans="1:9" x14ac:dyDescent="0.35">
      <c r="A90" s="18">
        <v>17</v>
      </c>
      <c r="B90" s="15" t="str">
        <f>Plp!B20</f>
        <v>Syarifuddin</v>
      </c>
      <c r="C90" s="155" t="str">
        <f>VLOOKUP(B90,Plp!$B$10:$Z$117,2,0)</f>
        <v>197011011991031002</v>
      </c>
      <c r="D90" s="50" t="str">
        <f>VLOOKUP(B90,Plp!$B$10:$Z$117,10,0)</f>
        <v>PLP</v>
      </c>
      <c r="E90" s="12" t="str">
        <f>VLOOKUP(B90,Plp!$B$10:$Y$117,5,0)</f>
        <v>Muara Baroh</v>
      </c>
      <c r="F90" s="152">
        <f>VLOOKUP(B90,Plp!$B$10:$Y$117,6,0)</f>
        <v>25873</v>
      </c>
      <c r="G90" s="153" t="str">
        <f t="shared" si="3"/>
        <v>1970</v>
      </c>
      <c r="H90" s="50" t="str">
        <f t="shared" ca="1" si="4"/>
        <v>53 Tahun, 11 Bulan, 7 Hari</v>
      </c>
      <c r="I90" s="18">
        <f t="shared" si="5"/>
        <v>2028</v>
      </c>
    </row>
    <row r="91" spans="1:9" x14ac:dyDescent="0.35">
      <c r="A91" s="18">
        <v>18</v>
      </c>
      <c r="B91" s="15" t="e">
        <f>Plp!#REF!</f>
        <v>#REF!</v>
      </c>
      <c r="C91" s="155" t="e">
        <f>VLOOKUP(B91,Plp!$B$10:$Z$117,2,0)</f>
        <v>#REF!</v>
      </c>
      <c r="D91" s="50" t="e">
        <f>VLOOKUP(B91,Plp!$B$10:$Z$117,10,0)</f>
        <v>#REF!</v>
      </c>
      <c r="E91" s="12" t="e">
        <f>VLOOKUP(B91,Plp!$B$10:$Y$117,5,0)</f>
        <v>#REF!</v>
      </c>
      <c r="F91" s="152" t="e">
        <f>VLOOKUP(B91,Plp!$B$10:$Y$117,6,0)</f>
        <v>#REF!</v>
      </c>
      <c r="G91" s="153" t="e">
        <f t="shared" si="3"/>
        <v>#REF!</v>
      </c>
      <c r="H91" s="50" t="e">
        <f t="shared" ca="1" si="4"/>
        <v>#REF!</v>
      </c>
      <c r="I91" s="18" t="e">
        <f t="shared" si="5"/>
        <v>#REF!</v>
      </c>
    </row>
    <row r="92" spans="1:9" x14ac:dyDescent="0.35">
      <c r="A92" s="18">
        <v>19</v>
      </c>
      <c r="B92" s="15" t="str">
        <f>Plp!B34</f>
        <v>Suryadi, A.Md.</v>
      </c>
      <c r="C92" s="155" t="str">
        <f>VLOOKUP(B92,Plp!$B$10:$Z$117,2,0)</f>
        <v>197006261992031001</v>
      </c>
      <c r="D92" s="50" t="str">
        <f>VLOOKUP(B92,Plp!$B$10:$Z$117,10,0)</f>
        <v>PLP</v>
      </c>
      <c r="E92" s="12" t="str">
        <f>VLOOKUP(B92,Plp!$B$10:$Y$117,5,0)</f>
        <v>Kediri</v>
      </c>
      <c r="F92" s="152">
        <f>VLOOKUP(B92,Plp!$B$10:$Y$117,6,0)</f>
        <v>25745</v>
      </c>
      <c r="G92" s="153" t="str">
        <f t="shared" si="3"/>
        <v>1970</v>
      </c>
      <c r="H92" s="50" t="str">
        <f t="shared" ca="1" si="4"/>
        <v>54 Tahun, 3 Bulan, 12 Hari</v>
      </c>
      <c r="I92" s="18">
        <f t="shared" si="5"/>
        <v>2028</v>
      </c>
    </row>
    <row r="93" spans="1:9" x14ac:dyDescent="0.35">
      <c r="A93" s="18">
        <v>20</v>
      </c>
      <c r="B93" s="15" t="str">
        <f>Plp!B38</f>
        <v>Emillia Fachdiana, A.Md.</v>
      </c>
      <c r="C93" s="155" t="str">
        <f>VLOOKUP(B93,Plp!$B$10:$Z$117,2,0)</f>
        <v>197004171994032001</v>
      </c>
      <c r="D93" s="50" t="str">
        <f>VLOOKUP(B93,Plp!$B$10:$Z$117,10,0)</f>
        <v>PLP</v>
      </c>
      <c r="E93" s="12" t="str">
        <f>VLOOKUP(B93,Plp!$B$10:$Y$117,5,0)</f>
        <v>Tanah Grogot</v>
      </c>
      <c r="F93" s="152">
        <f>VLOOKUP(B93,Plp!$B$10:$Y$117,6,0)</f>
        <v>25675</v>
      </c>
      <c r="G93" s="153" t="str">
        <f t="shared" si="3"/>
        <v>1970</v>
      </c>
      <c r="H93" s="50" t="str">
        <f t="shared" ca="1" si="4"/>
        <v>54 Tahun, 5 Bulan, 21 Hari</v>
      </c>
      <c r="I93" s="18">
        <f t="shared" si="5"/>
        <v>2028</v>
      </c>
    </row>
    <row r="94" spans="1:9" x14ac:dyDescent="0.35">
      <c r="A94" s="18">
        <v>21</v>
      </c>
      <c r="B94" s="15" t="str">
        <f>Plp!B78</f>
        <v>Rusdi, S.P.</v>
      </c>
      <c r="C94" s="155" t="str">
        <f>VLOOKUP(B94,Plp!$B$10:$Z$117,2,0)</f>
        <v>197003172005011002</v>
      </c>
      <c r="D94" s="50" t="str">
        <f>VLOOKUP(B94,Plp!$B$10:$Z$117,10,0)</f>
        <v>PLP</v>
      </c>
      <c r="E94" s="12" t="str">
        <f>VLOOKUP(B94,Plp!$B$10:$Y$117,5,0)</f>
        <v>Muara Kaman</v>
      </c>
      <c r="F94" s="152">
        <f>VLOOKUP(B94,Plp!$B$10:$Y$117,6,0)</f>
        <v>25644</v>
      </c>
      <c r="G94" s="153" t="str">
        <f t="shared" si="3"/>
        <v>1970</v>
      </c>
      <c r="H94" s="50" t="str">
        <f t="shared" ca="1" si="4"/>
        <v>54 Tahun, 6 Bulan, 21 Hari</v>
      </c>
      <c r="I94" s="18">
        <f t="shared" si="5"/>
        <v>2028</v>
      </c>
    </row>
    <row r="95" spans="1:9" x14ac:dyDescent="0.35">
      <c r="A95" s="18">
        <v>22</v>
      </c>
      <c r="B95" s="15" t="str">
        <f>Plp!B79</f>
        <v>Sopian Agus, A.Md.</v>
      </c>
      <c r="C95" s="155" t="str">
        <f>VLOOKUP(B95,Plp!$B$10:$Z$117,2,0)</f>
        <v>197008172000031002</v>
      </c>
      <c r="D95" s="50" t="str">
        <f>VLOOKUP(B95,Plp!$B$10:$Z$117,10,0)</f>
        <v>PLP</v>
      </c>
      <c r="E95" s="12" t="str">
        <f>VLOOKUP(B95,Plp!$B$10:$Y$117,5,0)</f>
        <v>Loa Kulu</v>
      </c>
      <c r="F95" s="152">
        <f>VLOOKUP(B95,Plp!$B$10:$Y$117,6,0)</f>
        <v>25797</v>
      </c>
      <c r="G95" s="153" t="str">
        <f t="shared" si="3"/>
        <v>1970</v>
      </c>
      <c r="H95" s="50" t="str">
        <f t="shared" ca="1" si="4"/>
        <v>54 Tahun, 1 Bulan, 21 Hari</v>
      </c>
      <c r="I95" s="18">
        <f t="shared" si="5"/>
        <v>2028</v>
      </c>
    </row>
    <row r="96" spans="1:9" x14ac:dyDescent="0.35">
      <c r="A96" s="18">
        <v>23</v>
      </c>
      <c r="B96" s="15" t="str">
        <f>Plp!B40</f>
        <v>Ratnawati, S.Hut.</v>
      </c>
      <c r="C96" s="155" t="str">
        <f>VLOOKUP(B96,Plp!$B$10:$Z$117,2,0)</f>
        <v>197108121998022001</v>
      </c>
      <c r="D96" s="50" t="str">
        <f>VLOOKUP(B96,Plp!$B$10:$Z$117,10,0)</f>
        <v>PLP</v>
      </c>
      <c r="E96" s="12" t="str">
        <f>VLOOKUP(B96,Plp!$B$10:$Y$117,5,0)</f>
        <v>Tenggarong Sebrang</v>
      </c>
      <c r="F96" s="152">
        <f>VLOOKUP(B96,Plp!$B$10:$Y$117,6,0)</f>
        <v>26157</v>
      </c>
      <c r="G96" s="153" t="str">
        <f t="shared" si="3"/>
        <v>1971</v>
      </c>
      <c r="H96" s="50" t="str">
        <f t="shared" ca="1" si="4"/>
        <v>53 Tahun, 1 Bulan, 26 Hari</v>
      </c>
      <c r="I96" s="18">
        <f t="shared" si="5"/>
        <v>2029</v>
      </c>
    </row>
    <row r="97" spans="1:9" x14ac:dyDescent="0.35">
      <c r="A97" s="18">
        <v>24</v>
      </c>
      <c r="B97" s="15" t="str">
        <f>Plp!B19</f>
        <v>Eriansyah, S.Hut.</v>
      </c>
      <c r="C97" s="155" t="str">
        <f>VLOOKUP(B97,Plp!$B$10:$Z$117,2,0)</f>
        <v>197203311999031001</v>
      </c>
      <c r="D97" s="50" t="str">
        <f>VLOOKUP(B97,Plp!$B$10:$Z$117,10,0)</f>
        <v>PLP</v>
      </c>
      <c r="E97" s="12" t="str">
        <f>VLOOKUP(B97,Plp!$B$10:$Y$117,5,0)</f>
        <v>Balikpapan</v>
      </c>
      <c r="F97" s="152">
        <f>VLOOKUP(B97,Plp!$B$10:$Y$117,6,0)</f>
        <v>26389</v>
      </c>
      <c r="G97" s="153" t="str">
        <f t="shared" si="3"/>
        <v>1972</v>
      </c>
      <c r="H97" s="50" t="str">
        <f t="shared" ca="1" si="4"/>
        <v>52 Tahun, 6 Bulan, 7 Hari</v>
      </c>
      <c r="I97" s="18">
        <f t="shared" si="5"/>
        <v>2030</v>
      </c>
    </row>
    <row r="98" spans="1:9" x14ac:dyDescent="0.35">
      <c r="A98" s="18">
        <v>25</v>
      </c>
      <c r="B98" s="15" t="str">
        <f>Plp!B17</f>
        <v>Rusdiana Ningsih, A.Md.</v>
      </c>
      <c r="C98" s="155" t="str">
        <f>VLOOKUP(B98,Plp!$B$10:$Z$117,2,0)</f>
        <v>197309301993032001</v>
      </c>
      <c r="D98" s="50" t="str">
        <f>VLOOKUP(B98,Plp!$B$10:$Z$117,10,0)</f>
        <v>PLP</v>
      </c>
      <c r="E98" s="12" t="str">
        <f>VLOOKUP(B98,Plp!$B$10:$Y$117,5,0)</f>
        <v>Tering</v>
      </c>
      <c r="F98" s="152">
        <f>VLOOKUP(B98,Plp!$B$10:$Y$117,6,0)</f>
        <v>26937</v>
      </c>
      <c r="G98" s="153" t="str">
        <f t="shared" si="3"/>
        <v>1973</v>
      </c>
      <c r="H98" s="50" t="str">
        <f t="shared" ca="1" si="4"/>
        <v>51 Tahun, 0 Bulan, 8 Hari</v>
      </c>
      <c r="I98" s="18">
        <f t="shared" si="5"/>
        <v>2031</v>
      </c>
    </row>
    <row r="99" spans="1:9" x14ac:dyDescent="0.35">
      <c r="A99" s="18">
        <v>26</v>
      </c>
      <c r="B99" s="15" t="str">
        <f>Plp!B77</f>
        <v>Hery Supeno, S.P.</v>
      </c>
      <c r="C99" s="155" t="str">
        <f>VLOOKUP(B99,Plp!$B$10:$Z$117,2,0)</f>
        <v>197306082000121001</v>
      </c>
      <c r="D99" s="50" t="str">
        <f>VLOOKUP(B99,Plp!$B$10:$Z$117,10,0)</f>
        <v>PLP</v>
      </c>
      <c r="E99" s="12" t="str">
        <f>VLOOKUP(B99,Plp!$B$10:$Y$117,5,0)</f>
        <v>Samarinda</v>
      </c>
      <c r="F99" s="152">
        <f>VLOOKUP(B99,Plp!$B$10:$Y$117,6,0)</f>
        <v>26458</v>
      </c>
      <c r="G99" s="153" t="str">
        <f t="shared" si="3"/>
        <v>1973</v>
      </c>
      <c r="H99" s="50" t="str">
        <f t="shared" ca="1" si="4"/>
        <v>52 Tahun, 4 Bulan, 0 Hari</v>
      </c>
      <c r="I99" s="18">
        <f t="shared" si="5"/>
        <v>2031</v>
      </c>
    </row>
    <row r="100" spans="1:9" x14ac:dyDescent="0.35">
      <c r="A100" s="18">
        <v>27</v>
      </c>
      <c r="B100" s="15" t="str">
        <f>Plp!B81</f>
        <v>Ariusmiati, S.P.</v>
      </c>
      <c r="C100" s="155" t="str">
        <f>VLOOKUP(B100,Plp!$B$10:$Z$117,2,0)</f>
        <v>197408012000032002</v>
      </c>
      <c r="D100" s="50" t="str">
        <f>VLOOKUP(B100,Plp!$B$10:$Z$117,10,0)</f>
        <v>PLP</v>
      </c>
      <c r="E100" s="12" t="str">
        <f>VLOOKUP(B100,Plp!$B$10:$Y$117,5,0)</f>
        <v>Balikpapan</v>
      </c>
      <c r="F100" s="152">
        <f>VLOOKUP(B100,Plp!$B$10:$Y$117,6,0)</f>
        <v>27242</v>
      </c>
      <c r="G100" s="153" t="str">
        <f t="shared" si="3"/>
        <v>1974</v>
      </c>
      <c r="H100" s="50" t="str">
        <f t="shared" ca="1" si="4"/>
        <v>50 Tahun, 2 Bulan, 7 Hari</v>
      </c>
      <c r="I100" s="18">
        <f t="shared" si="5"/>
        <v>2032</v>
      </c>
    </row>
    <row r="101" spans="1:9" x14ac:dyDescent="0.35">
      <c r="A101" s="18">
        <v>28</v>
      </c>
      <c r="B101" s="15" t="str">
        <f>Plp!B36</f>
        <v>Dedy Kurniawan, A.Md.</v>
      </c>
      <c r="C101" s="155" t="str">
        <f>VLOOKUP(B101,Plp!$B$10:$Z$117,2,0)</f>
        <v>197512131995121001</v>
      </c>
      <c r="D101" s="50" t="str">
        <f>VLOOKUP(B101,Plp!$B$10:$Z$117,10,0)</f>
        <v>PLP</v>
      </c>
      <c r="E101" s="12" t="str">
        <f>VLOOKUP(B101,Plp!$B$10:$Y$117,5,0)</f>
        <v>Samarinda</v>
      </c>
      <c r="F101" s="152">
        <f>VLOOKUP(B101,Plp!$B$10:$Y$117,6,0)</f>
        <v>27741</v>
      </c>
      <c r="G101" s="153" t="str">
        <f t="shared" si="3"/>
        <v>1975</v>
      </c>
      <c r="H101" s="50" t="str">
        <f t="shared" ca="1" si="4"/>
        <v>48 Tahun, 9 Bulan, 25 Hari</v>
      </c>
      <c r="I101" s="18">
        <f t="shared" si="5"/>
        <v>2033</v>
      </c>
    </row>
    <row r="102" spans="1:9" x14ac:dyDescent="0.35">
      <c r="A102" s="18">
        <v>29</v>
      </c>
      <c r="B102" s="15" t="str">
        <f>Plp!B21</f>
        <v>Shinta Sisilia Paurru, S.T.</v>
      </c>
      <c r="C102" s="155" t="str">
        <f>VLOOKUP(B102,Plp!$B$10:$Z$117,2,0)</f>
        <v>197608222014072001</v>
      </c>
      <c r="D102" s="50" t="str">
        <f>VLOOKUP(B102,Plp!$B$10:$Z$117,10,0)</f>
        <v>PLP</v>
      </c>
      <c r="E102" s="12" t="str">
        <f>VLOOKUP(B102,Plp!$B$10:$Y$117,5,0)</f>
        <v>Palopo</v>
      </c>
      <c r="F102" s="152">
        <f>VLOOKUP(B102,Plp!$B$10:$Y$117,6,0)</f>
        <v>27994</v>
      </c>
      <c r="G102" s="153" t="str">
        <f t="shared" si="3"/>
        <v>1976</v>
      </c>
      <c r="H102" s="50" t="str">
        <f t="shared" ca="1" si="4"/>
        <v>48 Tahun, 1 Bulan, 16 Hari</v>
      </c>
      <c r="I102" s="18">
        <f t="shared" si="5"/>
        <v>2034</v>
      </c>
    </row>
    <row r="103" spans="1:9" x14ac:dyDescent="0.35">
      <c r="A103" s="18">
        <v>30</v>
      </c>
      <c r="B103" s="15" t="str">
        <f>Plp!B64</f>
        <v>Dody Purwanto, S.P.</v>
      </c>
      <c r="C103" s="155" t="str">
        <f>VLOOKUP(B103,Plp!$B$10:$Z$117,2,0)</f>
        <v>197801012003121004</v>
      </c>
      <c r="D103" s="50" t="str">
        <f>VLOOKUP(B103,Plp!$B$10:$Z$117,10,0)</f>
        <v>PLP</v>
      </c>
      <c r="E103" s="12" t="str">
        <f>VLOOKUP(B103,Plp!$B$10:$Y$117,5,0)</f>
        <v>Samarinda</v>
      </c>
      <c r="F103" s="152">
        <f>VLOOKUP(B103,Plp!$B$10:$Y$117,6,0)</f>
        <v>28491</v>
      </c>
      <c r="G103" s="153" t="str">
        <f t="shared" si="3"/>
        <v>1978</v>
      </c>
      <c r="H103" s="50" t="str">
        <f t="shared" ca="1" si="4"/>
        <v>46 Tahun, 9 Bulan, 7 Hari</v>
      </c>
      <c r="I103" s="18">
        <f t="shared" si="5"/>
        <v>2036</v>
      </c>
    </row>
    <row r="104" spans="1:9" x14ac:dyDescent="0.35">
      <c r="A104" s="18">
        <v>31</v>
      </c>
      <c r="B104" s="15" t="str">
        <f>Plp!B82</f>
        <v>Syafruddin Ibrahim, A.Md.</v>
      </c>
      <c r="C104" s="155" t="str">
        <f>VLOOKUP(B104,Plp!$B$10:$Z$117,2,0)</f>
        <v>197806182005011002</v>
      </c>
      <c r="D104" s="50" t="str">
        <f>VLOOKUP(B104,Plp!$B$10:$Z$117,10,0)</f>
        <v>PLP</v>
      </c>
      <c r="E104" s="12" t="str">
        <f>VLOOKUP(B104,Plp!$B$10:$Y$117,5,0)</f>
        <v>Flores</v>
      </c>
      <c r="F104" s="152">
        <f>VLOOKUP(B104,Plp!$B$10:$Y$117,6,0)</f>
        <v>28659</v>
      </c>
      <c r="G104" s="153" t="str">
        <f t="shared" si="3"/>
        <v>1978</v>
      </c>
      <c r="H104" s="50" t="str">
        <f t="shared" ca="1" si="4"/>
        <v>46 Tahun, 3 Bulan, 20 Hari</v>
      </c>
      <c r="I104" s="18">
        <f t="shared" si="5"/>
        <v>2036</v>
      </c>
    </row>
    <row r="105" spans="1:9" x14ac:dyDescent="0.35">
      <c r="A105" s="18">
        <v>32</v>
      </c>
      <c r="B105" s="15" t="str">
        <f>Plp!B101</f>
        <v>Kuswantoro, S.T.</v>
      </c>
      <c r="C105" s="155" t="str">
        <f>VLOOKUP(B105,Plp!$B$10:$Z$117,2,0)</f>
        <v>197810122009121002</v>
      </c>
      <c r="D105" s="50" t="str">
        <f>VLOOKUP(B105,Plp!$B$10:$Z$117,10,0)</f>
        <v>PLP</v>
      </c>
      <c r="E105" s="12" t="str">
        <f>VLOOKUP(B105,Plp!$B$10:$Y$117,5,0)</f>
        <v>Samarinda</v>
      </c>
      <c r="F105" s="152">
        <f>VLOOKUP(B105,Plp!$B$10:$Y$117,6,0)</f>
        <v>28775</v>
      </c>
      <c r="G105" s="153" t="str">
        <f t="shared" si="3"/>
        <v>1978</v>
      </c>
      <c r="H105" s="50" t="str">
        <f t="shared" ca="1" si="4"/>
        <v>45 Tahun, 11 Bulan, 26 Hari</v>
      </c>
      <c r="I105" s="18">
        <f t="shared" si="5"/>
        <v>2036</v>
      </c>
    </row>
    <row r="106" spans="1:9" x14ac:dyDescent="0.35">
      <c r="A106" s="18">
        <v>33</v>
      </c>
      <c r="B106" s="15" t="str">
        <f>Plp!B83</f>
        <v>Ahmad Taufik, S.P.</v>
      </c>
      <c r="C106" s="155" t="str">
        <f>VLOOKUP(B106,Plp!$B$10:$Z$117,2,0)</f>
        <v>198005292010121002</v>
      </c>
      <c r="D106" s="50" t="str">
        <f>VLOOKUP(B106,Plp!$B$10:$Z$117,10,0)</f>
        <v>PLP</v>
      </c>
      <c r="E106" s="12" t="str">
        <f>VLOOKUP(B106,Plp!$B$10:$Y$117,5,0)</f>
        <v>Bondowoso</v>
      </c>
      <c r="F106" s="152">
        <f>VLOOKUP(B106,Plp!$B$10:$Y$117,6,0)</f>
        <v>29370</v>
      </c>
      <c r="G106" s="153" t="str">
        <f t="shared" ref="G106:G122" si="6">MID(C106,1,4)</f>
        <v>1980</v>
      </c>
      <c r="H106" s="50" t="str">
        <f t="shared" ref="H106:H122" ca="1" si="7">DATEDIF(F106,$A$5,"Y") &amp;" Tahun, "&amp;DATEDIF(F106,$A$5,"YM") &amp;" Bulan, "&amp;DATEDIF(F106,$A$5,"MD") &amp;" Hari"</f>
        <v>44 Tahun, 4 Bulan, 9 Hari</v>
      </c>
      <c r="I106" s="18">
        <f t="shared" si="5"/>
        <v>2038</v>
      </c>
    </row>
    <row r="107" spans="1:9" x14ac:dyDescent="0.35">
      <c r="A107" s="18">
        <v>34</v>
      </c>
      <c r="B107" s="15" t="str">
        <f>Plp!B51</f>
        <v>Joko Triyono, S.Kel.</v>
      </c>
      <c r="C107" s="155" t="str">
        <f>VLOOKUP(B107,Plp!$B$10:$Z$117,2,0)</f>
        <v>198110102014041001</v>
      </c>
      <c r="D107" s="50" t="str">
        <f>VLOOKUP(B107,Plp!$B$10:$Z$117,10,0)</f>
        <v>PLP</v>
      </c>
      <c r="E107" s="12" t="str">
        <f>VLOOKUP(B107,Plp!$B$10:$Y$117,5,0)</f>
        <v>Pati</v>
      </c>
      <c r="F107" s="152">
        <f>VLOOKUP(B107,Plp!$B$10:$Y$117,6,0)</f>
        <v>29869</v>
      </c>
      <c r="G107" s="153" t="str">
        <f t="shared" si="6"/>
        <v>1981</v>
      </c>
      <c r="H107" s="50" t="str">
        <f t="shared" ca="1" si="7"/>
        <v>42 Tahun, 11 Bulan, 28 Hari</v>
      </c>
      <c r="I107" s="18">
        <f t="shared" si="5"/>
        <v>2039</v>
      </c>
    </row>
    <row r="108" spans="1:9" x14ac:dyDescent="0.35">
      <c r="A108" s="18">
        <v>35</v>
      </c>
      <c r="B108" s="15" t="str">
        <f>Plp!B52</f>
        <v>Estu Pangaribowo, A.Md.</v>
      </c>
      <c r="C108" s="155" t="str">
        <f>VLOOKUP(B108,Plp!$B$10:$Z$117,2,0)</f>
        <v>198201232010121003</v>
      </c>
      <c r="D108" s="50" t="str">
        <f>VLOOKUP(B108,Plp!$B$10:$Z$117,10,0)</f>
        <v>PLP</v>
      </c>
      <c r="E108" s="12" t="str">
        <f>VLOOKUP(B108,Plp!$B$10:$Y$117,5,0)</f>
        <v>Samarinda</v>
      </c>
      <c r="F108" s="152">
        <f>VLOOKUP(B108,Plp!$B$10:$Y$117,6,0)</f>
        <v>29974</v>
      </c>
      <c r="G108" s="153" t="str">
        <f t="shared" si="6"/>
        <v>1982</v>
      </c>
      <c r="H108" s="50" t="str">
        <f t="shared" ca="1" si="7"/>
        <v>42 Tahun, 8 Bulan, 15 Hari</v>
      </c>
      <c r="I108" s="18">
        <f t="shared" si="5"/>
        <v>2040</v>
      </c>
    </row>
    <row r="109" spans="1:9" x14ac:dyDescent="0.35">
      <c r="A109" s="18">
        <v>36</v>
      </c>
      <c r="B109" s="15" t="str">
        <f>Plp!B53</f>
        <v>Rusli Wahyuni, A.Md.</v>
      </c>
      <c r="C109" s="155" t="str">
        <f>VLOOKUP(B109,Plp!$B$10:$Z$117,2,0)</f>
        <v>198205102010121005</v>
      </c>
      <c r="D109" s="50" t="str">
        <f>VLOOKUP(B109,Plp!$B$10:$Z$117,10,0)</f>
        <v>PLP</v>
      </c>
      <c r="E109" s="12" t="str">
        <f>VLOOKUP(B109,Plp!$B$10:$Y$117,5,0)</f>
        <v>Long Iram</v>
      </c>
      <c r="F109" s="152">
        <f>VLOOKUP(B109,Plp!$B$10:$Y$117,6,0)</f>
        <v>30081</v>
      </c>
      <c r="G109" s="153" t="str">
        <f t="shared" si="6"/>
        <v>1982</v>
      </c>
      <c r="H109" s="50" t="str">
        <f t="shared" ca="1" si="7"/>
        <v>42 Tahun, 4 Bulan, 28 Hari</v>
      </c>
      <c r="I109" s="18">
        <f t="shared" si="5"/>
        <v>2040</v>
      </c>
    </row>
    <row r="110" spans="1:9" x14ac:dyDescent="0.35">
      <c r="A110" s="18">
        <v>37</v>
      </c>
      <c r="B110" s="15" t="str">
        <f>Plp!B62</f>
        <v>Supriono, S.P.</v>
      </c>
      <c r="C110" s="155" t="str">
        <f>VLOOKUP(B110,Plp!$B$10:$Z$117,2,0)</f>
        <v>198201012003121003</v>
      </c>
      <c r="D110" s="50" t="str">
        <f>VLOOKUP(B110,Plp!$B$10:$Z$117,10,0)</f>
        <v>PLP</v>
      </c>
      <c r="E110" s="12" t="str">
        <f>VLOOKUP(B110,Plp!$B$10:$Y$117,5,0)</f>
        <v>Tenggarong</v>
      </c>
      <c r="F110" s="152">
        <f>VLOOKUP(B110,Plp!$B$10:$Y$117,6,0)</f>
        <v>29952</v>
      </c>
      <c r="G110" s="153" t="str">
        <f t="shared" si="6"/>
        <v>1982</v>
      </c>
      <c r="H110" s="50" t="str">
        <f t="shared" ca="1" si="7"/>
        <v>42 Tahun, 9 Bulan, 7 Hari</v>
      </c>
      <c r="I110" s="18">
        <f t="shared" si="5"/>
        <v>2040</v>
      </c>
    </row>
    <row r="111" spans="1:9" x14ac:dyDescent="0.35">
      <c r="A111" s="18">
        <v>38</v>
      </c>
      <c r="B111" s="15" t="str">
        <f>Plp!B63</f>
        <v>Theresia Adi Susanti, S.P.</v>
      </c>
      <c r="C111" s="155" t="str">
        <f>VLOOKUP(B111,Plp!$B$10:$Z$117,2,0)</f>
        <v>198205162005012001</v>
      </c>
      <c r="D111" s="50" t="str">
        <f>VLOOKUP(B111,Plp!$B$10:$Z$117,10,0)</f>
        <v>PLP</v>
      </c>
      <c r="E111" s="12" t="str">
        <f>VLOOKUP(B111,Plp!$B$10:$Y$117,5,0)</f>
        <v>Samarinda</v>
      </c>
      <c r="F111" s="152">
        <f>VLOOKUP(B111,Plp!$B$10:$Y$117,6,0)</f>
        <v>30087</v>
      </c>
      <c r="G111" s="153" t="str">
        <f t="shared" si="6"/>
        <v>1982</v>
      </c>
      <c r="H111" s="50" t="str">
        <f t="shared" ca="1" si="7"/>
        <v>42 Tahun, 4 Bulan, 22 Hari</v>
      </c>
      <c r="I111" s="18">
        <f t="shared" si="5"/>
        <v>2040</v>
      </c>
    </row>
    <row r="112" spans="1:9" x14ac:dyDescent="0.35">
      <c r="A112" s="18">
        <v>39</v>
      </c>
      <c r="B112" s="15" t="str">
        <f>Plp!B92</f>
        <v>Sri Marlendi, A.Md</v>
      </c>
      <c r="C112" s="155" t="str">
        <f>VLOOKUP(B112,Plp!$B$10:$Z$117,2,0)</f>
        <v>198209182014042001</v>
      </c>
      <c r="D112" s="50" t="str">
        <f>VLOOKUP(B112,Plp!$B$10:$Z$117,10,0)</f>
        <v>PLP</v>
      </c>
      <c r="E112" s="12" t="str">
        <f>VLOOKUP(B112,Plp!$B$10:$Y$117,5,0)</f>
        <v>Kutai Timur</v>
      </c>
      <c r="F112" s="152">
        <f>VLOOKUP(B112,Plp!$B$10:$Y$117,6,0)</f>
        <v>30212</v>
      </c>
      <c r="G112" s="153" t="str">
        <f t="shared" si="6"/>
        <v>1982</v>
      </c>
      <c r="H112" s="50" t="str">
        <f t="shared" ca="1" si="7"/>
        <v>42 Tahun, 0 Bulan, 20 Hari</v>
      </c>
      <c r="I112" s="18">
        <f t="shared" si="5"/>
        <v>2040</v>
      </c>
    </row>
    <row r="113" spans="1:9" x14ac:dyDescent="0.35">
      <c r="A113" s="18">
        <v>40</v>
      </c>
      <c r="B113" s="15" t="str">
        <f>Plp!B65</f>
        <v>Silvia Darmans, S.P.</v>
      </c>
      <c r="C113" s="155" t="str">
        <f>VLOOKUP(B113,Plp!$B$10:$Z$117,2,0)</f>
        <v>198305142005012006</v>
      </c>
      <c r="D113" s="50" t="str">
        <f>VLOOKUP(B113,Plp!$B$10:$Z$117,10,0)</f>
        <v>PLP</v>
      </c>
      <c r="E113" s="12" t="str">
        <f>VLOOKUP(B113,Plp!$B$10:$Y$117,5,0)</f>
        <v>Samarinda</v>
      </c>
      <c r="F113" s="152">
        <f>VLOOKUP(B113,Plp!$B$10:$Y$117,6,0)</f>
        <v>30450</v>
      </c>
      <c r="G113" s="153" t="str">
        <f t="shared" si="6"/>
        <v>1983</v>
      </c>
      <c r="H113" s="50" t="str">
        <f t="shared" ca="1" si="7"/>
        <v>41 Tahun, 4 Bulan, 24 Hari</v>
      </c>
      <c r="I113" s="18">
        <f t="shared" si="5"/>
        <v>2041</v>
      </c>
    </row>
    <row r="114" spans="1:9" x14ac:dyDescent="0.35">
      <c r="A114" s="18">
        <v>41</v>
      </c>
      <c r="B114" s="15" t="str">
        <f>Plp!B22</f>
        <v>Yuniar Artati, S.Hut.</v>
      </c>
      <c r="C114" s="155" t="str">
        <f>VLOOKUP(B114,Plp!$B$10:$Z$117,2,0)</f>
        <v>198507032019032014</v>
      </c>
      <c r="D114" s="50" t="str">
        <f>VLOOKUP(B114,Plp!$B$10:$Z$117,10,0)</f>
        <v>PLP</v>
      </c>
      <c r="E114" s="12" t="str">
        <f>VLOOKUP(B114,Plp!$B$10:$Y$117,5,0)</f>
        <v>Bandung Barat</v>
      </c>
      <c r="F114" s="152">
        <f>VLOOKUP(B114,Plp!$B$10:$Y$117,6,0)</f>
        <v>31231</v>
      </c>
      <c r="G114" s="153" t="str">
        <f t="shared" si="6"/>
        <v>1985</v>
      </c>
      <c r="H114" s="50" t="str">
        <f t="shared" ca="1" si="7"/>
        <v>39 Tahun, 3 Bulan, 5 Hari</v>
      </c>
      <c r="I114" s="18">
        <f t="shared" si="5"/>
        <v>2043</v>
      </c>
    </row>
    <row r="115" spans="1:9" x14ac:dyDescent="0.35">
      <c r="A115" s="18">
        <v>42</v>
      </c>
      <c r="B115" s="15" t="str">
        <f>Plp!B41</f>
        <v>Dodi Sukma Rahadiyanto, S.T.</v>
      </c>
      <c r="C115" s="155" t="str">
        <f>VLOOKUP(B115,Plp!$B$10:$Z$117,2,0)</f>
        <v>198507272020121003</v>
      </c>
      <c r="D115" s="50" t="str">
        <f>VLOOKUP(B115,Plp!$B$10:$Z$117,10,0)</f>
        <v>PLP</v>
      </c>
      <c r="E115" s="12" t="str">
        <f>VLOOKUP(B115,Plp!$B$10:$Y$117,5,0)</f>
        <v>Probolinggo</v>
      </c>
      <c r="F115" s="152">
        <f>VLOOKUP(B115,Plp!$B$10:$Y$117,6,0)</f>
        <v>31255</v>
      </c>
      <c r="G115" s="153" t="str">
        <f t="shared" si="6"/>
        <v>1985</v>
      </c>
      <c r="H115" s="50" t="str">
        <f t="shared" ca="1" si="7"/>
        <v>39 Tahun, 2 Bulan, 11 Hari</v>
      </c>
      <c r="I115" s="18">
        <f t="shared" si="5"/>
        <v>2043</v>
      </c>
    </row>
    <row r="116" spans="1:9" x14ac:dyDescent="0.35">
      <c r="A116" s="18">
        <v>43</v>
      </c>
      <c r="B116" s="15" t="str">
        <f>Plp!B80</f>
        <v>Doddy Prima, S.P.</v>
      </c>
      <c r="C116" s="155" t="str">
        <f>VLOOKUP(B116,Plp!$B$10:$Z$117,2,0)</f>
        <v>198603282009121009</v>
      </c>
      <c r="D116" s="50" t="str">
        <f>VLOOKUP(B116,Plp!$B$10:$Z$117,10,0)</f>
        <v>PLP</v>
      </c>
      <c r="E116" s="12" t="str">
        <f>VLOOKUP(B116,Plp!$B$10:$Y$117,5,0)</f>
        <v>Samarinda</v>
      </c>
      <c r="F116" s="152">
        <f>VLOOKUP(B116,Plp!$B$10:$Y$117,6,0)</f>
        <v>31499</v>
      </c>
      <c r="G116" s="153" t="str">
        <f t="shared" si="6"/>
        <v>1986</v>
      </c>
      <c r="H116" s="50" t="str">
        <f t="shared" ca="1" si="7"/>
        <v>38 Tahun, 6 Bulan, 10 Hari</v>
      </c>
      <c r="I116" s="18">
        <f t="shared" si="5"/>
        <v>2044</v>
      </c>
    </row>
    <row r="117" spans="1:9" x14ac:dyDescent="0.35">
      <c r="A117" s="18">
        <v>44</v>
      </c>
      <c r="B117" s="15" t="str">
        <f>Plp!B102</f>
        <v>Lili Suriani, A.Md.</v>
      </c>
      <c r="C117" s="155" t="str">
        <f>VLOOKUP(B117,Plp!$B$10:$Z$117,2,0)</f>
        <v>198612012009122003</v>
      </c>
      <c r="D117" s="50" t="str">
        <f>VLOOKUP(B117,Plp!$B$10:$Z$117,10,0)</f>
        <v>PLP</v>
      </c>
      <c r="E117" s="12" t="str">
        <f>VLOOKUP(B117,Plp!$B$10:$Y$117,5,0)</f>
        <v>Langae, Enrekang</v>
      </c>
      <c r="F117" s="152">
        <f>VLOOKUP(B117,Plp!$B$10:$Y$117,6,0)</f>
        <v>31747</v>
      </c>
      <c r="G117" s="153" t="str">
        <f t="shared" si="6"/>
        <v>1986</v>
      </c>
      <c r="H117" s="50" t="str">
        <f t="shared" ca="1" si="7"/>
        <v>37 Tahun, 10 Bulan, 7 Hari</v>
      </c>
      <c r="I117" s="18">
        <f t="shared" si="5"/>
        <v>2044</v>
      </c>
    </row>
    <row r="118" spans="1:9" x14ac:dyDescent="0.35">
      <c r="A118" s="18">
        <v>45</v>
      </c>
      <c r="B118" s="15" t="str">
        <f>Plp!B113</f>
        <v>Lisnawati, A.Md.</v>
      </c>
      <c r="C118" s="155" t="str">
        <f>VLOOKUP(B118,Plp!$B$10:$Z$117,2,0)</f>
        <v>198605162009122006</v>
      </c>
      <c r="D118" s="50" t="str">
        <f>VLOOKUP(B118,Plp!$B$10:$Z$117,10,0)</f>
        <v>PLP</v>
      </c>
      <c r="E118" s="12" t="str">
        <f>VLOOKUP(B118,Plp!$B$10:$Y$117,5,0)</f>
        <v>Batulicin</v>
      </c>
      <c r="F118" s="152">
        <f>VLOOKUP(B118,Plp!$B$10:$Y$117,6,0)</f>
        <v>31548</v>
      </c>
      <c r="G118" s="153" t="str">
        <f t="shared" si="6"/>
        <v>1986</v>
      </c>
      <c r="H118" s="50" t="str">
        <f t="shared" ca="1" si="7"/>
        <v>38 Tahun, 4 Bulan, 22 Hari</v>
      </c>
      <c r="I118" s="18">
        <f t="shared" si="5"/>
        <v>2044</v>
      </c>
    </row>
    <row r="119" spans="1:9" x14ac:dyDescent="0.35">
      <c r="A119" s="18">
        <v>46</v>
      </c>
      <c r="B119" s="15" t="str">
        <f>Plp!B67</f>
        <v>Rindawati, S.Hut.</v>
      </c>
      <c r="C119" s="155" t="str">
        <f>VLOOKUP(B119,Plp!$B$10:$Z$117,2,0)</f>
        <v>198701142009122006</v>
      </c>
      <c r="D119" s="50" t="str">
        <f>VLOOKUP(B119,Plp!$B$10:$Z$117,10,0)</f>
        <v>PLP</v>
      </c>
      <c r="E119" s="12" t="str">
        <f>VLOOKUP(B119,Plp!$B$10:$Y$117,5,0)</f>
        <v>Loajanan Ilir</v>
      </c>
      <c r="F119" s="152">
        <f>VLOOKUP(B119,Plp!$B$10:$Y$117,6,0)</f>
        <v>31791</v>
      </c>
      <c r="G119" s="153" t="str">
        <f t="shared" si="6"/>
        <v>1987</v>
      </c>
      <c r="H119" s="50" t="str">
        <f t="shared" ca="1" si="7"/>
        <v>37 Tahun, 8 Bulan, 24 Hari</v>
      </c>
      <c r="I119" s="18">
        <f t="shared" si="5"/>
        <v>2045</v>
      </c>
    </row>
    <row r="120" spans="1:9" x14ac:dyDescent="0.35">
      <c r="A120" s="18">
        <v>47</v>
      </c>
      <c r="B120" s="15" t="str">
        <f>Plp!B66</f>
        <v>Yuliana Sabarina Lewar, S.TP.</v>
      </c>
      <c r="C120" s="155" t="str">
        <f>VLOOKUP(B120,Plp!$B$10:$Z$117,2,0)</f>
        <v>199004012019032026</v>
      </c>
      <c r="D120" s="50" t="str">
        <f>VLOOKUP(B120,Plp!$B$10:$Z$117,10,0)</f>
        <v>PLP</v>
      </c>
      <c r="E120" s="12" t="str">
        <f>VLOOKUP(B120,Plp!$B$10:$Y$117,5,0)</f>
        <v>Kota Kinabalu</v>
      </c>
      <c r="F120" s="152">
        <f>VLOOKUP(B120,Plp!$B$10:$Y$117,6,0)</f>
        <v>32964</v>
      </c>
      <c r="G120" s="153" t="str">
        <f t="shared" si="6"/>
        <v>1990</v>
      </c>
      <c r="H120" s="50" t="str">
        <f t="shared" ca="1" si="7"/>
        <v>34 Tahun, 6 Bulan, 7 Hari</v>
      </c>
      <c r="I120" s="18">
        <f t="shared" si="5"/>
        <v>2048</v>
      </c>
    </row>
    <row r="121" spans="1:9" x14ac:dyDescent="0.35">
      <c r="A121" s="18">
        <v>48</v>
      </c>
      <c r="B121" s="15" t="str">
        <f>Plp!B112</f>
        <v>Nur Aini, S.Kom.</v>
      </c>
      <c r="C121" s="155" t="str">
        <f>VLOOKUP(B121,Plp!$B$10:$Z$117,2,0)</f>
        <v>199111292019032020</v>
      </c>
      <c r="D121" s="50" t="str">
        <f>VLOOKUP(B121,Plp!$B$10:$Z$117,10,0)</f>
        <v>PLP</v>
      </c>
      <c r="E121" s="12" t="str">
        <f>VLOOKUP(B121,Plp!$B$10:$Y$117,5,0)</f>
        <v>Samarinda</v>
      </c>
      <c r="F121" s="152">
        <f>VLOOKUP(B121,Plp!$B$10:$Y$117,6,0)</f>
        <v>33571</v>
      </c>
      <c r="G121" s="153" t="str">
        <f t="shared" si="6"/>
        <v>1991</v>
      </c>
      <c r="H121" s="50" t="str">
        <f t="shared" ca="1" si="7"/>
        <v>32 Tahun, 10 Bulan, 9 Hari</v>
      </c>
      <c r="I121" s="18">
        <f t="shared" si="5"/>
        <v>2049</v>
      </c>
    </row>
    <row r="122" spans="1:9" x14ac:dyDescent="0.35">
      <c r="A122" s="18">
        <v>49</v>
      </c>
      <c r="B122" s="15" t="str">
        <f>Plp!B103</f>
        <v>Haryo Wicaksono, S.T.</v>
      </c>
      <c r="C122" s="155" t="str">
        <f>VLOOKUP(B122,Plp!$B$10:$Z$117,2,0)</f>
        <v>199602062019031006</v>
      </c>
      <c r="D122" s="50" t="str">
        <f>VLOOKUP(B122,Plp!$B$10:$Z$117,10,0)</f>
        <v>PLP</v>
      </c>
      <c r="E122" s="12" t="str">
        <f>VLOOKUP(B122,Plp!$B$10:$Y$117,5,0)</f>
        <v>Surabaya</v>
      </c>
      <c r="F122" s="152">
        <f>VLOOKUP(B122,Plp!$B$10:$Y$117,6,0)</f>
        <v>35101</v>
      </c>
      <c r="G122" s="153" t="str">
        <f t="shared" si="6"/>
        <v>1996</v>
      </c>
      <c r="H122" s="50" t="str">
        <f t="shared" ca="1" si="7"/>
        <v>28 Tahun, 8 Bulan, 2 Hari</v>
      </c>
      <c r="I122" s="18">
        <f t="shared" si="5"/>
        <v>2054</v>
      </c>
    </row>
    <row r="126" spans="1:9" x14ac:dyDescent="0.35">
      <c r="A126" s="36" t="s">
        <v>1133</v>
      </c>
      <c r="F126" s="16"/>
      <c r="G126" s="16"/>
    </row>
    <row r="127" spans="1:9" x14ac:dyDescent="0.35">
      <c r="A127" s="325" t="s">
        <v>13</v>
      </c>
      <c r="B127" s="416" t="s">
        <v>14</v>
      </c>
      <c r="C127" s="417" t="s">
        <v>19</v>
      </c>
      <c r="D127" s="419" t="s">
        <v>27</v>
      </c>
      <c r="E127" s="420" t="s">
        <v>16</v>
      </c>
      <c r="F127" s="421" t="s">
        <v>17</v>
      </c>
      <c r="G127" s="422"/>
      <c r="H127" s="325" t="s">
        <v>26</v>
      </c>
      <c r="I127" s="325" t="s">
        <v>1129</v>
      </c>
    </row>
    <row r="128" spans="1:9" x14ac:dyDescent="0.35">
      <c r="A128" s="325"/>
      <c r="B128" s="416"/>
      <c r="C128" s="418"/>
      <c r="D128" s="326"/>
      <c r="E128" s="420"/>
      <c r="F128" s="423"/>
      <c r="G128" s="424"/>
      <c r="H128" s="325"/>
      <c r="I128" s="325"/>
    </row>
    <row r="129" spans="1:9" ht="16" thickBot="1" x14ac:dyDescent="0.4">
      <c r="A129" s="102">
        <v>1</v>
      </c>
      <c r="B129" s="147">
        <v>2</v>
      </c>
      <c r="C129" s="148">
        <v>3</v>
      </c>
      <c r="D129" s="102">
        <v>4</v>
      </c>
      <c r="E129" s="150">
        <v>5</v>
      </c>
      <c r="F129" s="147">
        <v>6</v>
      </c>
      <c r="G129" s="149">
        <v>7</v>
      </c>
      <c r="H129" s="147">
        <v>8</v>
      </c>
      <c r="I129" s="102">
        <v>9</v>
      </c>
    </row>
    <row r="130" spans="1:9" ht="16" thickTop="1" x14ac:dyDescent="0.35">
      <c r="A130" s="18">
        <v>1</v>
      </c>
      <c r="B130" s="15" t="e">
        <f>Dosen!#REF!</f>
        <v>#REF!</v>
      </c>
      <c r="C130" s="155" t="e">
        <f>VLOOKUP(B130,Dosen!$B$10:$AA$312,2,0)</f>
        <v>#REF!</v>
      </c>
      <c r="D130" s="50" t="e">
        <f>VLOOKUP(B130,Dosen!$B$10:$AA$312,10,0)</f>
        <v>#REF!</v>
      </c>
      <c r="E130" s="12" t="e">
        <f>VLOOKUP(B130,Dosen!$B$10:$AA$312,5,0)</f>
        <v>#REF!</v>
      </c>
      <c r="F130" s="152" t="e">
        <f>VLOOKUP(B130,Dosen!$B$10:$AA$312,6,0)</f>
        <v>#REF!</v>
      </c>
      <c r="G130" s="153" t="e">
        <f t="shared" ref="G130:G161" si="8">MID(C130,1,4)</f>
        <v>#REF!</v>
      </c>
      <c r="H130" s="50" t="e">
        <f t="shared" ref="H130:H161" ca="1" si="9">DATEDIF(F130,$A$5,"Y") &amp;" Tahun, "&amp;DATEDIF(F130,$A$5,"YM") &amp;" Bulan, "&amp;DATEDIF(F130,$A$5,"MD") &amp;" Hari"</f>
        <v>#REF!</v>
      </c>
      <c r="I130" s="18" t="e">
        <f t="shared" ref="I130:I161" si="10">IF(D130="Dosen",G130+65,G130+5)</f>
        <v>#REF!</v>
      </c>
    </row>
    <row r="131" spans="1:9" x14ac:dyDescent="0.35">
      <c r="A131" s="18">
        <v>2</v>
      </c>
      <c r="B131" s="15" t="e">
        <f>Dosen!#REF!</f>
        <v>#REF!</v>
      </c>
      <c r="C131" s="155" t="e">
        <f>VLOOKUP(B131,Dosen!$B$10:$AA$312,2,0)</f>
        <v>#REF!</v>
      </c>
      <c r="D131" s="50" t="e">
        <f>VLOOKUP(B131,Dosen!$B$10:$AA$312,10,0)</f>
        <v>#REF!</v>
      </c>
      <c r="E131" s="12" t="e">
        <f>VLOOKUP(B131,Dosen!$B$10:$AA$312,5,0)</f>
        <v>#REF!</v>
      </c>
      <c r="F131" s="152" t="e">
        <f>VLOOKUP(B131,Dosen!$B$10:$AA$312,6,0)</f>
        <v>#REF!</v>
      </c>
      <c r="G131" s="153" t="e">
        <f t="shared" si="8"/>
        <v>#REF!</v>
      </c>
      <c r="H131" s="50" t="e">
        <f t="shared" ca="1" si="9"/>
        <v>#REF!</v>
      </c>
      <c r="I131" s="18" t="e">
        <f t="shared" si="10"/>
        <v>#REF!</v>
      </c>
    </row>
    <row r="132" spans="1:9" x14ac:dyDescent="0.35">
      <c r="A132" s="18">
        <v>3</v>
      </c>
      <c r="B132" s="15" t="str">
        <f>Dosen!B71</f>
        <v>Ir. Yusdiansyah, M.P.</v>
      </c>
      <c r="C132" s="155" t="str">
        <f>VLOOKUP(B132,Dosen!$B$10:$AA$312,2,0)</f>
        <v>195912161989031002</v>
      </c>
      <c r="D132" s="50" t="str">
        <f>VLOOKUP(B132,Dosen!$B$10:$AA$312,10,0)</f>
        <v>Dosen</v>
      </c>
      <c r="E132" s="12" t="str">
        <f>VLOOKUP(B132,Dosen!$B$10:$AA$312,5,0)</f>
        <v>Tarakan</v>
      </c>
      <c r="F132" s="152">
        <f>VLOOKUP(B132,Dosen!$B$10:$AA$312,6,0)</f>
        <v>21900</v>
      </c>
      <c r="G132" s="153" t="str">
        <f t="shared" si="8"/>
        <v>1959</v>
      </c>
      <c r="H132" s="50" t="str">
        <f t="shared" ca="1" si="9"/>
        <v>64 Tahun, 9 Bulan, 22 Hari</v>
      </c>
      <c r="I132" s="18">
        <f t="shared" si="10"/>
        <v>2024</v>
      </c>
    </row>
    <row r="133" spans="1:9" x14ac:dyDescent="0.35">
      <c r="A133" s="18">
        <v>4</v>
      </c>
      <c r="B133" s="15" t="str">
        <f>Dosen!B12</f>
        <v>Ir. M. Masrudy, M.P.</v>
      </c>
      <c r="C133" s="155" t="str">
        <f>VLOOKUP(B133,Dosen!$B$10:$AA$312,2,0)</f>
        <v>196008051988031003</v>
      </c>
      <c r="D133" s="50" t="str">
        <f>VLOOKUP(B133,Dosen!$B$10:$AA$312,10,0)</f>
        <v>Dosen</v>
      </c>
      <c r="E133" s="12" t="str">
        <f>VLOOKUP(B133,Dosen!$B$10:$AA$312,5,0)</f>
        <v>Banjarmasin</v>
      </c>
      <c r="F133" s="152">
        <f>VLOOKUP(B133,Dosen!$B$10:$AA$312,6,0)</f>
        <v>22133</v>
      </c>
      <c r="G133" s="153" t="str">
        <f t="shared" si="8"/>
        <v>1960</v>
      </c>
      <c r="H133" s="50" t="str">
        <f t="shared" ca="1" si="9"/>
        <v>64 Tahun, 2 Bulan, 3 Hari</v>
      </c>
      <c r="I133" s="18">
        <f t="shared" si="10"/>
        <v>2025</v>
      </c>
    </row>
    <row r="134" spans="1:9" x14ac:dyDescent="0.35">
      <c r="A134" s="18">
        <v>5</v>
      </c>
      <c r="B134" s="15" t="str">
        <f>Dosen!B22</f>
        <v>Ir. Sofyan Bulkis, M.P.</v>
      </c>
      <c r="C134" s="155" t="str">
        <f>VLOOKUP(B134,Dosen!$B$10:$AA$312,2,0)</f>
        <v>196003211989031002</v>
      </c>
      <c r="D134" s="50" t="str">
        <f>VLOOKUP(B134,Dosen!$B$10:$AA$312,10,0)</f>
        <v>Dosen</v>
      </c>
      <c r="E134" s="12" t="str">
        <f>VLOOKUP(B134,Dosen!$B$10:$AA$312,5,0)</f>
        <v>Senyiur</v>
      </c>
      <c r="F134" s="152">
        <f>VLOOKUP(B134,Dosen!$B$10:$AA$312,6,0)</f>
        <v>21996</v>
      </c>
      <c r="G134" s="153" t="str">
        <f t="shared" si="8"/>
        <v>1960</v>
      </c>
      <c r="H134" s="50" t="str">
        <f t="shared" ca="1" si="9"/>
        <v>64 Tahun, 6 Bulan, 17 Hari</v>
      </c>
      <c r="I134" s="18">
        <f t="shared" si="10"/>
        <v>2025</v>
      </c>
    </row>
    <row r="135" spans="1:9" x14ac:dyDescent="0.35">
      <c r="A135" s="18">
        <v>6</v>
      </c>
      <c r="B135" s="15" t="str">
        <f>Dosen!B69</f>
        <v>Dr. Ir. H. Taman Alex, M.P.</v>
      </c>
      <c r="C135" s="155" t="str">
        <f>VLOOKUP(B135,Dosen!$B$10:$AA$312,2,0)</f>
        <v>196012121989031008</v>
      </c>
      <c r="D135" s="50" t="str">
        <f>VLOOKUP(B135,Dosen!$B$10:$AA$312,10,0)</f>
        <v>Dosen</v>
      </c>
      <c r="E135" s="12" t="str">
        <f>VLOOKUP(B135,Dosen!$B$10:$AA$312,5,0)</f>
        <v>Malang</v>
      </c>
      <c r="F135" s="152">
        <f>VLOOKUP(B135,Dosen!$B$10:$AA$312,6,0)</f>
        <v>22262</v>
      </c>
      <c r="G135" s="153" t="str">
        <f t="shared" si="8"/>
        <v>1960</v>
      </c>
      <c r="H135" s="50" t="str">
        <f t="shared" ca="1" si="9"/>
        <v>63 Tahun, 9 Bulan, 26 Hari</v>
      </c>
      <c r="I135" s="18">
        <f t="shared" si="10"/>
        <v>2025</v>
      </c>
    </row>
    <row r="136" spans="1:9" x14ac:dyDescent="0.35">
      <c r="A136" s="18">
        <v>7</v>
      </c>
      <c r="B136" s="15" t="str">
        <f>Dosen!B15</f>
        <v>Ir. M. Fadjeri, M.P.</v>
      </c>
      <c r="C136" s="155" t="str">
        <f>VLOOKUP(B136,Dosen!$B$10:$AA$312,2,0)</f>
        <v>196108121988031003</v>
      </c>
      <c r="D136" s="50" t="str">
        <f>VLOOKUP(B136,Dosen!$B$10:$AA$312,10,0)</f>
        <v>Dosen</v>
      </c>
      <c r="E136" s="12" t="str">
        <f>VLOOKUP(B136,Dosen!$B$10:$AA$312,5,0)</f>
        <v>Balikpapan</v>
      </c>
      <c r="F136" s="152">
        <f>VLOOKUP(B136,Dosen!$B$10:$AA$312,6,0)</f>
        <v>22505</v>
      </c>
      <c r="G136" s="153" t="str">
        <f t="shared" si="8"/>
        <v>1961</v>
      </c>
      <c r="H136" s="50" t="str">
        <f t="shared" ca="1" si="9"/>
        <v>63 Tahun, 1 Bulan, 26 Hari</v>
      </c>
      <c r="I136" s="18">
        <f t="shared" si="10"/>
        <v>2026</v>
      </c>
    </row>
    <row r="137" spans="1:9" x14ac:dyDescent="0.35">
      <c r="A137" s="18">
        <v>8</v>
      </c>
      <c r="B137" s="15" t="str">
        <f>Dosen!B149</f>
        <v>Dr. Ir. Budi Winarni, M.Si.</v>
      </c>
      <c r="C137" s="155" t="str">
        <f>VLOOKUP(B137,Dosen!$B$10:$AA$312,2,0)</f>
        <v>196109141990012001</v>
      </c>
      <c r="D137" s="50" t="str">
        <f>VLOOKUP(B137,Dosen!$B$10:$AA$312,10,0)</f>
        <v>Dosen</v>
      </c>
      <c r="E137" s="12" t="str">
        <f>VLOOKUP(B137,Dosen!$B$10:$AA$312,5,0)</f>
        <v>Palembang</v>
      </c>
      <c r="F137" s="152">
        <f>VLOOKUP(B137,Dosen!$B$10:$AA$312,6,0)</f>
        <v>22538</v>
      </c>
      <c r="G137" s="153" t="str">
        <f t="shared" si="8"/>
        <v>1961</v>
      </c>
      <c r="H137" s="50" t="str">
        <f t="shared" ca="1" si="9"/>
        <v>63 Tahun, 0 Bulan, 24 Hari</v>
      </c>
      <c r="I137" s="18">
        <f t="shared" si="10"/>
        <v>2026</v>
      </c>
    </row>
    <row r="138" spans="1:9" x14ac:dyDescent="0.35">
      <c r="A138" s="18">
        <v>9</v>
      </c>
      <c r="B138" s="15" t="str">
        <f>Dosen!B16</f>
        <v>Ir. Herijanto Thamrin, M.P.</v>
      </c>
      <c r="C138" s="155" t="str">
        <f>VLOOKUP(B138,Dosen!$B$10:$AA$312,2,0)</f>
        <v>196211071989031015</v>
      </c>
      <c r="D138" s="50" t="str">
        <f>VLOOKUP(B138,Dosen!$B$10:$AA$312,10,0)</f>
        <v>Dosen</v>
      </c>
      <c r="E138" s="12" t="str">
        <f>VLOOKUP(B138,Dosen!$B$10:$AA$312,5,0)</f>
        <v>Samarinda</v>
      </c>
      <c r="F138" s="152">
        <f>VLOOKUP(B138,Dosen!$B$10:$AA$312,6,0)</f>
        <v>22957</v>
      </c>
      <c r="G138" s="153" t="str">
        <f t="shared" si="8"/>
        <v>1962</v>
      </c>
      <c r="H138" s="50" t="str">
        <f t="shared" ca="1" si="9"/>
        <v>61 Tahun, 11 Bulan, 1 Hari</v>
      </c>
      <c r="I138" s="18">
        <f t="shared" si="10"/>
        <v>2027</v>
      </c>
    </row>
    <row r="139" spans="1:9" x14ac:dyDescent="0.35">
      <c r="A139" s="18">
        <v>10</v>
      </c>
      <c r="B139" s="15" t="str">
        <f>Dosen!B40</f>
        <v>Ir. Andi Yusuf, M.P.</v>
      </c>
      <c r="C139" s="155" t="str">
        <f>VLOOKUP(B139,Dosen!$B$10:$AA$312,2,0)</f>
        <v>196210221988031001</v>
      </c>
      <c r="D139" s="50" t="str">
        <f>VLOOKUP(B139,Dosen!$B$10:$AA$312,10,0)</f>
        <v>Dosen</v>
      </c>
      <c r="E139" s="12" t="str">
        <f>VLOOKUP(B139,Dosen!$B$10:$AA$312,5,0)</f>
        <v>Cabange Soppeng</v>
      </c>
      <c r="F139" s="152">
        <f>VLOOKUP(B139,Dosen!$B$10:$AA$312,6,0)</f>
        <v>22941</v>
      </c>
      <c r="G139" s="153" t="str">
        <f t="shared" si="8"/>
        <v>1962</v>
      </c>
      <c r="H139" s="50" t="str">
        <f t="shared" ca="1" si="9"/>
        <v>61 Tahun, 11 Bulan, 16 Hari</v>
      </c>
      <c r="I139" s="18">
        <f t="shared" si="10"/>
        <v>2027</v>
      </c>
    </row>
    <row r="140" spans="1:9" x14ac:dyDescent="0.35">
      <c r="A140" s="18">
        <v>11</v>
      </c>
      <c r="B140" s="15" t="str">
        <f>Dosen!B184</f>
        <v>Dr. Ir. Suparjo, M.P.</v>
      </c>
      <c r="C140" s="155" t="str">
        <f>VLOOKUP(B140,Dosen!$B$10:$AA$312,2,0)</f>
        <v>196208171989031003</v>
      </c>
      <c r="D140" s="50" t="str">
        <f>VLOOKUP(B140,Dosen!$B$10:$AA$312,10,0)</f>
        <v>Dosen</v>
      </c>
      <c r="E140" s="12" t="str">
        <f>VLOOKUP(B140,Dosen!$B$10:$AA$312,5,0)</f>
        <v>Karang Anyar</v>
      </c>
      <c r="F140" s="152">
        <f>VLOOKUP(B140,Dosen!$B$10:$AA$312,6,0)</f>
        <v>22875</v>
      </c>
      <c r="G140" s="153" t="str">
        <f t="shared" si="8"/>
        <v>1962</v>
      </c>
      <c r="H140" s="50" t="str">
        <f t="shared" ca="1" si="9"/>
        <v>62 Tahun, 1 Bulan, 21 Hari</v>
      </c>
      <c r="I140" s="18">
        <f t="shared" si="10"/>
        <v>2027</v>
      </c>
    </row>
    <row r="141" spans="1:9" x14ac:dyDescent="0.35">
      <c r="A141" s="18">
        <v>12</v>
      </c>
      <c r="B141" s="15" t="str">
        <f>Dosen!B13</f>
        <v>Ir. Hasanudin, M.P.</v>
      </c>
      <c r="C141" s="155" t="str">
        <f>VLOOKUP(B141,Dosen!$B$10:$AA$312,2,0)</f>
        <v>196308051989031005</v>
      </c>
      <c r="D141" s="50" t="str">
        <f>VLOOKUP(B141,Dosen!$B$10:$AA$312,10,0)</f>
        <v>Dosen</v>
      </c>
      <c r="E141" s="12" t="str">
        <f>VLOOKUP(B141,Dosen!$B$10:$AA$312,5,0)</f>
        <v>Balikpapan</v>
      </c>
      <c r="F141" s="152">
        <f>VLOOKUP(B141,Dosen!$B$10:$AA$312,6,0)</f>
        <v>23228</v>
      </c>
      <c r="G141" s="153" t="str">
        <f t="shared" si="8"/>
        <v>1963</v>
      </c>
      <c r="H141" s="50" t="str">
        <f t="shared" ca="1" si="9"/>
        <v>61 Tahun, 2 Bulan, 3 Hari</v>
      </c>
      <c r="I141" s="18">
        <f t="shared" si="10"/>
        <v>2028</v>
      </c>
    </row>
    <row r="142" spans="1:9" x14ac:dyDescent="0.35">
      <c r="A142" s="18">
        <v>13</v>
      </c>
      <c r="B142" s="15" t="str">
        <f>Dosen!B35</f>
        <v>Ir. Wartomo, M.P.</v>
      </c>
      <c r="C142" s="155" t="str">
        <f>VLOOKUP(B142,Dosen!$B$10:$AA$312,2,0)</f>
        <v>196310281988031003</v>
      </c>
      <c r="D142" s="50" t="str">
        <f>VLOOKUP(B142,Dosen!$B$10:$AA$312,10,0)</f>
        <v>Dosen</v>
      </c>
      <c r="E142" s="12" t="str">
        <f>VLOOKUP(B142,Dosen!$B$10:$AA$312,5,0)</f>
        <v>Pati</v>
      </c>
      <c r="F142" s="152">
        <f>VLOOKUP(B142,Dosen!$B$10:$AA$312,6,0)</f>
        <v>23312</v>
      </c>
      <c r="G142" s="153" t="str">
        <f t="shared" si="8"/>
        <v>1963</v>
      </c>
      <c r="H142" s="50" t="str">
        <f t="shared" ca="1" si="9"/>
        <v>60 Tahun, 11 Bulan, 10 Hari</v>
      </c>
      <c r="I142" s="18">
        <f t="shared" si="10"/>
        <v>2028</v>
      </c>
    </row>
    <row r="143" spans="1:9" x14ac:dyDescent="0.35">
      <c r="A143" s="18">
        <v>14</v>
      </c>
      <c r="B143" s="15" t="str">
        <f>Dosen!B14</f>
        <v>Dr. Ir. H. Suwarto, M.P.</v>
      </c>
      <c r="C143" s="155" t="str">
        <f>VLOOKUP(B143,Dosen!$B$10:$AA$312,2,0)</f>
        <v>196410101992031003</v>
      </c>
      <c r="D143" s="50" t="str">
        <f>VLOOKUP(B143,Dosen!$B$10:$AA$312,10,0)</f>
        <v>Dosen</v>
      </c>
      <c r="E143" s="12" t="str">
        <f>VLOOKUP(B143,Dosen!$B$10:$AA$312,5,0)</f>
        <v>Banyumas</v>
      </c>
      <c r="F143" s="152">
        <f>VLOOKUP(B143,Dosen!$B$10:$AA$312,6,0)</f>
        <v>23660</v>
      </c>
      <c r="G143" s="153" t="str">
        <f t="shared" si="8"/>
        <v>1964</v>
      </c>
      <c r="H143" s="50" t="str">
        <f t="shared" ca="1" si="9"/>
        <v>59 Tahun, 11 Bulan, 28 Hari</v>
      </c>
      <c r="I143" s="18">
        <f t="shared" si="10"/>
        <v>2029</v>
      </c>
    </row>
    <row r="144" spans="1:9" x14ac:dyDescent="0.35">
      <c r="A144" s="18">
        <v>15</v>
      </c>
      <c r="B144" s="15" t="str">
        <f>Dosen!B23</f>
        <v>Ir. Noorhamsyah, M.P.</v>
      </c>
      <c r="C144" s="155" t="str">
        <f>VLOOKUP(B144,Dosen!$B$10:$AA$312,2,0)</f>
        <v>196405231997031001</v>
      </c>
      <c r="D144" s="50" t="str">
        <f>VLOOKUP(B144,Dosen!$B$10:$AA$312,10,0)</f>
        <v>Dosen</v>
      </c>
      <c r="E144" s="12" t="str">
        <f>VLOOKUP(B144,Dosen!$B$10:$AA$312,5,0)</f>
        <v>Balikpapan</v>
      </c>
      <c r="F144" s="152">
        <f>VLOOKUP(B144,Dosen!$B$10:$AA$312,6,0)</f>
        <v>23520</v>
      </c>
      <c r="G144" s="153" t="str">
        <f t="shared" si="8"/>
        <v>1964</v>
      </c>
      <c r="H144" s="50" t="str">
        <f t="shared" ca="1" si="9"/>
        <v>60 Tahun, 4 Bulan, 15 Hari</v>
      </c>
      <c r="I144" s="18">
        <f t="shared" si="10"/>
        <v>2029</v>
      </c>
    </row>
    <row r="145" spans="1:9" x14ac:dyDescent="0.35">
      <c r="A145" s="18">
        <v>16</v>
      </c>
      <c r="B145" s="15" t="str">
        <f>Dosen!B17</f>
        <v>Ir. Emi Malaysia, M.P.</v>
      </c>
      <c r="C145" s="155" t="str">
        <f>VLOOKUP(B145,Dosen!$B$10:$AA$312,2,0)</f>
        <v>196501011992032002</v>
      </c>
      <c r="D145" s="50" t="str">
        <f>VLOOKUP(B145,Dosen!$B$10:$AA$312,10,0)</f>
        <v>Dosen</v>
      </c>
      <c r="E145" s="12" t="str">
        <f>VLOOKUP(B145,Dosen!$B$10:$AA$312,5,0)</f>
        <v>Nunukan</v>
      </c>
      <c r="F145" s="152">
        <f>VLOOKUP(B145,Dosen!$B$10:$AA$312,6,0)</f>
        <v>23743</v>
      </c>
      <c r="G145" s="153" t="str">
        <f t="shared" si="8"/>
        <v>1965</v>
      </c>
      <c r="H145" s="50" t="str">
        <f t="shared" ca="1" si="9"/>
        <v>59 Tahun, 9 Bulan, 7 Hari</v>
      </c>
      <c r="I145" s="18">
        <f t="shared" si="10"/>
        <v>2030</v>
      </c>
    </row>
    <row r="146" spans="1:9" x14ac:dyDescent="0.35">
      <c r="A146" s="18">
        <v>17</v>
      </c>
      <c r="B146" s="15" t="str">
        <f>Dosen!B39</f>
        <v>Ir. Joko Prayitno, M.P.</v>
      </c>
      <c r="C146" s="155" t="str">
        <f>VLOOKUP(B146,Dosen!$B$10:$AA$312,2,0)</f>
        <v>196607041992031005</v>
      </c>
      <c r="D146" s="50" t="str">
        <f>VLOOKUP(B146,Dosen!$B$10:$AA$312,10,0)</f>
        <v>Dosen</v>
      </c>
      <c r="E146" s="12" t="str">
        <f>VLOOKUP(B146,Dosen!$B$10:$AA$312,5,0)</f>
        <v>Grobogan</v>
      </c>
      <c r="F146" s="152">
        <f>VLOOKUP(B146,Dosen!$B$10:$AA$312,6,0)</f>
        <v>24292</v>
      </c>
      <c r="G146" s="153" t="str">
        <f t="shared" si="8"/>
        <v>1966</v>
      </c>
      <c r="H146" s="50" t="str">
        <f t="shared" ca="1" si="9"/>
        <v>58 Tahun, 3 Bulan, 4 Hari</v>
      </c>
      <c r="I146" s="18">
        <f t="shared" si="10"/>
        <v>2031</v>
      </c>
    </row>
    <row r="147" spans="1:9" x14ac:dyDescent="0.35">
      <c r="A147" s="18">
        <v>18</v>
      </c>
      <c r="B147" s="15" t="str">
        <f>Dosen!B137</f>
        <v>Yuanita, S.P., M.P.</v>
      </c>
      <c r="C147" s="155" t="str">
        <f>VLOOKUP(B147,Dosen!$B$10:$AA$312,2,0)</f>
        <v>196611252001122001</v>
      </c>
      <c r="D147" s="50" t="str">
        <f>VLOOKUP(B147,Dosen!$B$10:$AA$312,10,0)</f>
        <v>Dosen</v>
      </c>
      <c r="E147" s="12" t="str">
        <f>VLOOKUP(B147,Dosen!$B$10:$AA$312,5,0)</f>
        <v>Balikpapan</v>
      </c>
      <c r="F147" s="152">
        <f>VLOOKUP(B147,Dosen!$B$10:$AA$312,6,0)</f>
        <v>24436</v>
      </c>
      <c r="G147" s="153" t="str">
        <f t="shared" si="8"/>
        <v>1966</v>
      </c>
      <c r="H147" s="50" t="str">
        <f t="shared" ca="1" si="9"/>
        <v>57 Tahun, 10 Bulan, 13 Hari</v>
      </c>
      <c r="I147" s="18">
        <f t="shared" si="10"/>
        <v>2031</v>
      </c>
    </row>
    <row r="148" spans="1:9" x14ac:dyDescent="0.35">
      <c r="A148" s="18">
        <v>19</v>
      </c>
      <c r="B148" s="15" t="str">
        <f>Dosen!B68</f>
        <v>Dr. Ir. Syafi'I, M.P.</v>
      </c>
      <c r="C148" s="155" t="str">
        <f>VLOOKUP(B148,Dosen!$B$10:$AA$312,2,0)</f>
        <v>196806101995121001</v>
      </c>
      <c r="D148" s="50" t="str">
        <f>VLOOKUP(B148,Dosen!$B$10:$AA$312,10,0)</f>
        <v>Dosen</v>
      </c>
      <c r="E148" s="12" t="str">
        <f>VLOOKUP(B148,Dosen!$B$10:$AA$312,5,0)</f>
        <v>Cirebon</v>
      </c>
      <c r="F148" s="152">
        <f>VLOOKUP(B148,Dosen!$B$10:$AA$312,6,0)</f>
        <v>24999</v>
      </c>
      <c r="G148" s="153" t="str">
        <f t="shared" si="8"/>
        <v>1968</v>
      </c>
      <c r="H148" s="50" t="str">
        <f t="shared" ca="1" si="9"/>
        <v>56 Tahun, 3 Bulan, 28 Hari</v>
      </c>
      <c r="I148" s="18">
        <f t="shared" si="10"/>
        <v>2033</v>
      </c>
    </row>
    <row r="149" spans="1:9" x14ac:dyDescent="0.35">
      <c r="A149" s="18">
        <v>20</v>
      </c>
      <c r="B149" s="15" t="str">
        <f>Dosen!B199</f>
        <v>Dr. Suswanto, M.Pd.</v>
      </c>
      <c r="C149" s="155" t="str">
        <f>VLOOKUP(B149,Dosen!$B$10:$AA$312,2,0)</f>
        <v>196805251995121001</v>
      </c>
      <c r="D149" s="50" t="str">
        <f>VLOOKUP(B149,Dosen!$B$10:$AA$312,10,0)</f>
        <v>Dosen</v>
      </c>
      <c r="E149" s="12" t="str">
        <f>VLOOKUP(B149,Dosen!$B$10:$AA$312,5,0)</f>
        <v>Blitar</v>
      </c>
      <c r="F149" s="152">
        <f>VLOOKUP(B149,Dosen!$B$10:$AA$312,6,0)</f>
        <v>24983</v>
      </c>
      <c r="G149" s="153" t="str">
        <f t="shared" si="8"/>
        <v>1968</v>
      </c>
      <c r="H149" s="50" t="str">
        <f t="shared" ca="1" si="9"/>
        <v>56 Tahun, 4 Bulan, 13 Hari</v>
      </c>
      <c r="I149" s="18">
        <f t="shared" si="10"/>
        <v>2033</v>
      </c>
    </row>
    <row r="150" spans="1:9" x14ac:dyDescent="0.35">
      <c r="A150" s="18">
        <v>21</v>
      </c>
      <c r="B150" s="15" t="e">
        <f>Dosen!#REF!</f>
        <v>#REF!</v>
      </c>
      <c r="C150" s="155" t="e">
        <f>VLOOKUP(B150,Dosen!$B$10:$AA$312,2,0)</f>
        <v>#REF!</v>
      </c>
      <c r="D150" s="50" t="e">
        <f>VLOOKUP(B150,Dosen!$B$10:$AA$312,10,0)</f>
        <v>#REF!</v>
      </c>
      <c r="E150" s="12" t="e">
        <f>VLOOKUP(B150,Dosen!$B$10:$AA$312,5,0)</f>
        <v>#REF!</v>
      </c>
      <c r="F150" s="152" t="e">
        <f>VLOOKUP(B150,Dosen!$B$10:$AA$312,6,0)</f>
        <v>#REF!</v>
      </c>
      <c r="G150" s="153" t="e">
        <f t="shared" si="8"/>
        <v>#REF!</v>
      </c>
      <c r="H150" s="50" t="e">
        <f t="shared" ca="1" si="9"/>
        <v>#REF!</v>
      </c>
      <c r="I150" s="18" t="e">
        <f t="shared" si="10"/>
        <v>#REF!</v>
      </c>
    </row>
    <row r="151" spans="1:9" x14ac:dyDescent="0.35">
      <c r="A151" s="18">
        <v>22</v>
      </c>
      <c r="B151" s="15" t="str">
        <f>Dosen!B108</f>
        <v>Farida Aryani, S.Hut., M.P.</v>
      </c>
      <c r="C151" s="155" t="str">
        <f>VLOOKUP(B151,Dosen!$B$10:$AA$312,2,0)</f>
        <v>196902071993032002</v>
      </c>
      <c r="D151" s="50" t="str">
        <f>VLOOKUP(B151,Dosen!$B$10:$AA$312,10,0)</f>
        <v>Dosen</v>
      </c>
      <c r="E151" s="12" t="str">
        <f>VLOOKUP(B151,Dosen!$B$10:$AA$312,5,0)</f>
        <v>Jayapura</v>
      </c>
      <c r="F151" s="152">
        <f>VLOOKUP(B151,Dosen!$B$10:$AA$312,6,0)</f>
        <v>25241</v>
      </c>
      <c r="G151" s="153" t="str">
        <f t="shared" si="8"/>
        <v>1969</v>
      </c>
      <c r="H151" s="50" t="str">
        <f t="shared" ca="1" si="9"/>
        <v>55 Tahun, 8 Bulan, 1 Hari</v>
      </c>
      <c r="I151" s="18">
        <f t="shared" si="10"/>
        <v>2034</v>
      </c>
    </row>
    <row r="152" spans="1:9" x14ac:dyDescent="0.35">
      <c r="A152" s="18">
        <v>23</v>
      </c>
      <c r="B152" s="15" t="str">
        <f>Dosen!B18</f>
        <v>Rudi Djatmiko, S.Hut., M.P.</v>
      </c>
      <c r="C152" s="155" t="str">
        <f>VLOOKUP(B152,Dosen!$B$10:$AA$312,2,0)</f>
        <v>197009151995121001</v>
      </c>
      <c r="D152" s="50" t="str">
        <f>VLOOKUP(B152,Dosen!$B$10:$AA$312,10,0)</f>
        <v>Dosen</v>
      </c>
      <c r="E152" s="12" t="str">
        <f>VLOOKUP(B152,Dosen!$B$10:$AA$312,5,0)</f>
        <v>Balikpapan</v>
      </c>
      <c r="F152" s="152">
        <f>VLOOKUP(B152,Dosen!$B$10:$AA$312,6,0)</f>
        <v>25826</v>
      </c>
      <c r="G152" s="153" t="str">
        <f t="shared" si="8"/>
        <v>1970</v>
      </c>
      <c r="H152" s="50" t="str">
        <f t="shared" ca="1" si="9"/>
        <v>54 Tahun, 0 Bulan, 23 Hari</v>
      </c>
      <c r="I152" s="18">
        <f t="shared" si="10"/>
        <v>2035</v>
      </c>
    </row>
    <row r="153" spans="1:9" x14ac:dyDescent="0.35">
      <c r="A153" s="18">
        <v>24</v>
      </c>
      <c r="B153" s="15" t="str">
        <f>Dosen!B21</f>
        <v>Dwinita Aquastini, S.Hut., M.P.</v>
      </c>
      <c r="C153" s="155" t="str">
        <f>VLOOKUP(B153,Dosen!$B$10:$AA$312,2,0)</f>
        <v>197002141997032002</v>
      </c>
      <c r="D153" s="50" t="str">
        <f>VLOOKUP(B153,Dosen!$B$10:$AA$312,10,0)</f>
        <v>Dosen</v>
      </c>
      <c r="E153" s="12" t="str">
        <f>VLOOKUP(B153,Dosen!$B$10:$AA$312,5,0)</f>
        <v>Bandung</v>
      </c>
      <c r="F153" s="152">
        <f>VLOOKUP(B153,Dosen!$B$10:$AA$312,6,0)</f>
        <v>25613</v>
      </c>
      <c r="G153" s="153" t="str">
        <f t="shared" si="8"/>
        <v>1970</v>
      </c>
      <c r="H153" s="50" t="str">
        <f t="shared" ca="1" si="9"/>
        <v>54 Tahun, 7 Bulan, 24 Hari</v>
      </c>
      <c r="I153" s="18">
        <f t="shared" si="10"/>
        <v>2035</v>
      </c>
    </row>
    <row r="154" spans="1:9" x14ac:dyDescent="0.35">
      <c r="A154" s="18">
        <v>25</v>
      </c>
      <c r="B154" s="15" t="str">
        <f>Dosen!B36</f>
        <v>Dr. M. Fikri Hernandi, S.Hut., M.P.</v>
      </c>
      <c r="C154" s="155" t="str">
        <f>VLOOKUP(B154,Dosen!$B$10:$AA$312,2,0)</f>
        <v>197011271998021001</v>
      </c>
      <c r="D154" s="50" t="str">
        <f>VLOOKUP(B154,Dosen!$B$10:$AA$312,10,0)</f>
        <v>Dosen</v>
      </c>
      <c r="E154" s="12" t="str">
        <f>VLOOKUP(B154,Dosen!$B$10:$AA$312,5,0)</f>
        <v>Samarinda</v>
      </c>
      <c r="F154" s="152">
        <f>VLOOKUP(B154,Dosen!$B$10:$AA$312,6,0)</f>
        <v>25899</v>
      </c>
      <c r="G154" s="153" t="str">
        <f t="shared" si="8"/>
        <v>1970</v>
      </c>
      <c r="H154" s="50" t="str">
        <f t="shared" ca="1" si="9"/>
        <v>53 Tahun, 10 Bulan, 11 Hari</v>
      </c>
      <c r="I154" s="18">
        <f t="shared" si="10"/>
        <v>2035</v>
      </c>
    </row>
    <row r="155" spans="1:9" x14ac:dyDescent="0.35">
      <c r="A155" s="18">
        <v>26</v>
      </c>
      <c r="B155" s="15" t="str">
        <f>Dosen!B37</f>
        <v>Dr. Erina Hertianti, S.Hut., M.P.</v>
      </c>
      <c r="C155" s="155" t="str">
        <f>VLOOKUP(B155,Dosen!$B$10:$AA$312,2,0)</f>
        <v>197005031995122002</v>
      </c>
      <c r="D155" s="50" t="str">
        <f>VLOOKUP(B155,Dosen!$B$10:$AA$312,10,0)</f>
        <v>Dosen</v>
      </c>
      <c r="E155" s="12" t="str">
        <f>VLOOKUP(B155,Dosen!$B$10:$AA$312,5,0)</f>
        <v>Malang</v>
      </c>
      <c r="F155" s="152">
        <f>VLOOKUP(B155,Dosen!$B$10:$AA$312,6,0)</f>
        <v>25691</v>
      </c>
      <c r="G155" s="153" t="str">
        <f t="shared" si="8"/>
        <v>1970</v>
      </c>
      <c r="H155" s="50" t="str">
        <f t="shared" ca="1" si="9"/>
        <v>54 Tahun, 5 Bulan, 5 Hari</v>
      </c>
      <c r="I155" s="18">
        <f t="shared" si="10"/>
        <v>2035</v>
      </c>
    </row>
    <row r="156" spans="1:9" x14ac:dyDescent="0.35">
      <c r="A156" s="18">
        <v>27</v>
      </c>
      <c r="B156" s="15" t="str">
        <f>Dosen!B38</f>
        <v>Dr. Heriad Daud Salusu, S.Hut., M.P.</v>
      </c>
      <c r="C156" s="155" t="str">
        <f>VLOOKUP(B156,Dosen!$B$10:$AA$312,2,0)</f>
        <v>197008301997031001</v>
      </c>
      <c r="D156" s="50" t="str">
        <f>VLOOKUP(B156,Dosen!$B$10:$AA$312,10,0)</f>
        <v>Dosen</v>
      </c>
      <c r="E156" s="12" t="str">
        <f>VLOOKUP(B156,Dosen!$B$10:$AA$312,5,0)</f>
        <v>Rantepao</v>
      </c>
      <c r="F156" s="152">
        <f>VLOOKUP(B156,Dosen!$B$10:$AA$312,6,0)</f>
        <v>25810</v>
      </c>
      <c r="G156" s="153" t="str">
        <f t="shared" si="8"/>
        <v>1970</v>
      </c>
      <c r="H156" s="50" t="str">
        <f t="shared" ca="1" si="9"/>
        <v>54 Tahun, 1 Bulan, 8 Hari</v>
      </c>
      <c r="I156" s="18">
        <f t="shared" si="10"/>
        <v>2035</v>
      </c>
    </row>
    <row r="157" spans="1:9" x14ac:dyDescent="0.35">
      <c r="A157" s="18">
        <v>28</v>
      </c>
      <c r="B157" s="15" t="str">
        <f>Dosen!B107</f>
        <v>Elisa Ginsel Popang, S.TP., M.Sc.</v>
      </c>
      <c r="C157" s="155" t="str">
        <f>VLOOKUP(B157,Dosen!$B$10:$AA$312,2,0)</f>
        <v>197012292003121001</v>
      </c>
      <c r="D157" s="50" t="str">
        <f>VLOOKUP(B157,Dosen!$B$10:$AA$312,10,0)</f>
        <v>Dosen</v>
      </c>
      <c r="E157" s="12" t="str">
        <f>VLOOKUP(B157,Dosen!$B$10:$AA$312,5,0)</f>
        <v>Enrekang</v>
      </c>
      <c r="F157" s="152">
        <f>VLOOKUP(B157,Dosen!$B$10:$AA$312,6,0)</f>
        <v>25931</v>
      </c>
      <c r="G157" s="153" t="str">
        <f t="shared" si="8"/>
        <v>1970</v>
      </c>
      <c r="H157" s="50" t="str">
        <f t="shared" ca="1" si="9"/>
        <v>53 Tahun, 9 Bulan, 9 Hari</v>
      </c>
      <c r="I157" s="18">
        <f t="shared" si="10"/>
        <v>2035</v>
      </c>
    </row>
    <row r="158" spans="1:9" x14ac:dyDescent="0.35">
      <c r="A158" s="18">
        <v>29</v>
      </c>
      <c r="B158" s="15" t="str">
        <f>Dosen!B152</f>
        <v>Dr. Rusli Anwar, S.P., M.Si.</v>
      </c>
      <c r="C158" s="155" t="str">
        <f>VLOOKUP(B158,Dosen!$B$10:$AA$312,2,0)</f>
        <v>197011012005011003</v>
      </c>
      <c r="D158" s="50" t="str">
        <f>VLOOKUP(B158,Dosen!$B$10:$AA$312,10,0)</f>
        <v>Dosen</v>
      </c>
      <c r="E158" s="12" t="str">
        <f>VLOOKUP(B158,Dosen!$B$10:$AA$312,5,0)</f>
        <v>Long Iram</v>
      </c>
      <c r="F158" s="152">
        <f>VLOOKUP(B158,Dosen!$B$10:$AA$312,6,0)</f>
        <v>25873</v>
      </c>
      <c r="G158" s="153" t="str">
        <f t="shared" si="8"/>
        <v>1970</v>
      </c>
      <c r="H158" s="50" t="str">
        <f t="shared" ca="1" si="9"/>
        <v>53 Tahun, 11 Bulan, 7 Hari</v>
      </c>
      <c r="I158" s="18">
        <f t="shared" si="10"/>
        <v>2035</v>
      </c>
    </row>
    <row r="159" spans="1:9" x14ac:dyDescent="0.35">
      <c r="A159" s="18">
        <v>30</v>
      </c>
      <c r="B159" s="15" t="str">
        <f>Dosen!B171</f>
        <v>Riama Rita Manullang, S.P., M.P.</v>
      </c>
      <c r="C159" s="155" t="str">
        <f>VLOOKUP(B159,Dosen!$B$10:$AA$312,2,0)</f>
        <v>197011162000032002</v>
      </c>
      <c r="D159" s="50" t="str">
        <f>VLOOKUP(B159,Dosen!$B$10:$AA$312,10,0)</f>
        <v>Dosen</v>
      </c>
      <c r="E159" s="12" t="str">
        <f>VLOOKUP(B159,Dosen!$B$10:$AA$312,5,0)</f>
        <v>Bandar Negeri</v>
      </c>
      <c r="F159" s="152">
        <f>VLOOKUP(B159,Dosen!$B$10:$AA$312,6,0)</f>
        <v>25888</v>
      </c>
      <c r="G159" s="153" t="str">
        <f t="shared" si="8"/>
        <v>1970</v>
      </c>
      <c r="H159" s="50" t="str">
        <f t="shared" ca="1" si="9"/>
        <v>53 Tahun, 10 Bulan, 22 Hari</v>
      </c>
      <c r="I159" s="18">
        <f t="shared" si="10"/>
        <v>2035</v>
      </c>
    </row>
    <row r="160" spans="1:9" x14ac:dyDescent="0.35">
      <c r="A160" s="18">
        <v>31</v>
      </c>
      <c r="B160" s="15" t="str">
        <f>Dosen!B186</f>
        <v>Dr. Ahmad Aris Mundir Sutaji, S.Pd., M.Pd.</v>
      </c>
      <c r="C160" s="155" t="str">
        <f>VLOOKUP(B160,Dosen!$B$10:$AA$312,2,0)</f>
        <v>197006041994121002</v>
      </c>
      <c r="D160" s="50" t="str">
        <f>VLOOKUP(B160,Dosen!$B$10:$AA$312,10,0)</f>
        <v>Dosen</v>
      </c>
      <c r="E160" s="12" t="str">
        <f>VLOOKUP(B160,Dosen!$B$10:$AA$312,5,0)</f>
        <v>Nganjuk</v>
      </c>
      <c r="F160" s="152">
        <f>VLOOKUP(B160,Dosen!$B$10:$AA$312,6,0)</f>
        <v>26088</v>
      </c>
      <c r="G160" s="153" t="str">
        <f t="shared" si="8"/>
        <v>1970</v>
      </c>
      <c r="H160" s="50" t="str">
        <f t="shared" ca="1" si="9"/>
        <v>53 Tahun, 4 Bulan, 4 Hari</v>
      </c>
      <c r="I160" s="18">
        <f t="shared" si="10"/>
        <v>2035</v>
      </c>
    </row>
    <row r="161" spans="1:9" x14ac:dyDescent="0.35">
      <c r="A161" s="18">
        <v>32</v>
      </c>
      <c r="B161" s="15" t="str">
        <f>Dosen!B19</f>
        <v>Dr. Elisa Herawati, S.Hut., M.P.</v>
      </c>
      <c r="C161" s="155" t="str">
        <f>VLOOKUP(B161,Dosen!$B$10:$AA$312,2,0)</f>
        <v>197103051995122001</v>
      </c>
      <c r="D161" s="50" t="str">
        <f>VLOOKUP(B161,Dosen!$B$10:$AA$312,10,0)</f>
        <v>Dosen</v>
      </c>
      <c r="E161" s="12" t="str">
        <f>VLOOKUP(B161,Dosen!$B$10:$AA$312,5,0)</f>
        <v>Pemangkat</v>
      </c>
      <c r="F161" s="152">
        <f>VLOOKUP(B161,Dosen!$B$10:$AA$312,6,0)</f>
        <v>25997</v>
      </c>
      <c r="G161" s="153" t="str">
        <f t="shared" si="8"/>
        <v>1971</v>
      </c>
      <c r="H161" s="50" t="str">
        <f t="shared" ca="1" si="9"/>
        <v>53 Tahun, 7 Bulan, 3 Hari</v>
      </c>
      <c r="I161" s="18">
        <f t="shared" si="10"/>
        <v>2036</v>
      </c>
    </row>
    <row r="162" spans="1:9" x14ac:dyDescent="0.35">
      <c r="A162" s="18">
        <v>33</v>
      </c>
      <c r="B162" s="15" t="e">
        <f>Dosen!#REF!</f>
        <v>#REF!</v>
      </c>
      <c r="C162" s="155" t="e">
        <f>VLOOKUP(B162,Dosen!$B$10:$AA$312,2,0)</f>
        <v>#REF!</v>
      </c>
      <c r="D162" s="50" t="e">
        <f>VLOOKUP(B162,Dosen!$B$10:$AA$312,10,0)</f>
        <v>#REF!</v>
      </c>
      <c r="E162" s="12" t="e">
        <f>VLOOKUP(B162,Dosen!$B$10:$AA$312,5,0)</f>
        <v>#REF!</v>
      </c>
      <c r="F162" s="152" t="e">
        <f>VLOOKUP(B162,Dosen!$B$10:$AA$312,6,0)</f>
        <v>#REF!</v>
      </c>
      <c r="G162" s="153" t="e">
        <f t="shared" ref="G162:G193" si="11">MID(C162,1,4)</f>
        <v>#REF!</v>
      </c>
      <c r="H162" s="50" t="e">
        <f t="shared" ref="H162:H193" ca="1" si="12">DATEDIF(F162,$A$5,"Y") &amp;" Tahun, "&amp;DATEDIF(F162,$A$5,"YM") &amp;" Bulan, "&amp;DATEDIF(F162,$A$5,"MD") &amp;" Hari"</f>
        <v>#REF!</v>
      </c>
      <c r="I162" s="18" t="e">
        <f t="shared" ref="I162:I193" si="13">IF(D162="Dosen",G162+65,G162+5)</f>
        <v>#REF!</v>
      </c>
    </row>
    <row r="163" spans="1:9" x14ac:dyDescent="0.35">
      <c r="A163" s="18">
        <v>34</v>
      </c>
      <c r="B163" s="15" t="str">
        <f>Dosen!B154</f>
        <v>Dr. Sukariyan, S.Hut., M.P.</v>
      </c>
      <c r="C163" s="155" t="str">
        <f>VLOOKUP(B163,Dosen!$B$10:$AA$312,2,0)</f>
        <v>197105141998031003</v>
      </c>
      <c r="D163" s="50" t="str">
        <f>VLOOKUP(B163,Dosen!$B$10:$AA$312,10,0)</f>
        <v>Dosen</v>
      </c>
      <c r="E163" s="12" t="str">
        <f>VLOOKUP(B163,Dosen!$B$10:$AA$312,5,0)</f>
        <v>Tulung Agung</v>
      </c>
      <c r="F163" s="152">
        <f>VLOOKUP(B163,Dosen!$B$10:$AA$312,6,0)</f>
        <v>26067</v>
      </c>
      <c r="G163" s="153" t="str">
        <f t="shared" si="11"/>
        <v>1971</v>
      </c>
      <c r="H163" s="50" t="str">
        <f t="shared" ca="1" si="12"/>
        <v>53 Tahun, 4 Bulan, 24 Hari</v>
      </c>
      <c r="I163" s="18">
        <f t="shared" si="13"/>
        <v>2036</v>
      </c>
    </row>
    <row r="164" spans="1:9" x14ac:dyDescent="0.35">
      <c r="A164" s="18">
        <v>35</v>
      </c>
      <c r="B164" s="15" t="str">
        <f>Dosen!B185</f>
        <v>Dyah Widyasasi, S.Hut., M.P.</v>
      </c>
      <c r="C164" s="155" t="str">
        <f>VLOOKUP(B164,Dosen!$B$10:$AA$312,2,0)</f>
        <v>197101031997032001</v>
      </c>
      <c r="D164" s="50" t="str">
        <f>VLOOKUP(B164,Dosen!$B$10:$AA$312,10,0)</f>
        <v>Dosen</v>
      </c>
      <c r="E164" s="12" t="str">
        <f>VLOOKUP(B164,Dosen!$B$10:$AA$312,5,0)</f>
        <v>Magelang</v>
      </c>
      <c r="F164" s="152">
        <f>VLOOKUP(B164,Dosen!$B$10:$AA$312,6,0)</f>
        <v>25936</v>
      </c>
      <c r="G164" s="153" t="str">
        <f t="shared" si="11"/>
        <v>1971</v>
      </c>
      <c r="H164" s="50" t="str">
        <f t="shared" ca="1" si="12"/>
        <v>53 Tahun, 9 Bulan, 5 Hari</v>
      </c>
      <c r="I164" s="18">
        <f t="shared" si="13"/>
        <v>2036</v>
      </c>
    </row>
    <row r="165" spans="1:9" x14ac:dyDescent="0.35">
      <c r="A165" s="18">
        <v>36</v>
      </c>
      <c r="B165" s="15" t="str">
        <f>Dosen!B24</f>
        <v>Agustina Murniyati, S.Hut., M.P.</v>
      </c>
      <c r="C165" s="155" t="str">
        <f>VLOOKUP(B165,Dosen!$B$10:$AA$312,2,0)</f>
        <v>197208031998022001</v>
      </c>
      <c r="D165" s="50" t="str">
        <f>VLOOKUP(B165,Dosen!$B$10:$AA$312,10,0)</f>
        <v>Dosen</v>
      </c>
      <c r="E165" s="12" t="str">
        <f>VLOOKUP(B165,Dosen!$B$10:$AA$312,5,0)</f>
        <v>Tarakan</v>
      </c>
      <c r="F165" s="152">
        <f>VLOOKUP(B165,Dosen!$B$10:$AA$312,6,0)</f>
        <v>26514</v>
      </c>
      <c r="G165" s="153" t="str">
        <f t="shared" si="11"/>
        <v>1972</v>
      </c>
      <c r="H165" s="50" t="str">
        <f t="shared" ca="1" si="12"/>
        <v>52 Tahun, 2 Bulan, 5 Hari</v>
      </c>
      <c r="I165" s="18">
        <f t="shared" si="13"/>
        <v>2037</v>
      </c>
    </row>
    <row r="166" spans="1:9" x14ac:dyDescent="0.35">
      <c r="A166" s="18">
        <v>37</v>
      </c>
      <c r="B166" s="15" t="str">
        <f>Dosen!B73</f>
        <v>Dr. Ita Merni Patulak, S.E., M.M.</v>
      </c>
      <c r="C166" s="155" t="str">
        <f>VLOOKUP(B166,Dosen!$B$10:$AA$312,2,0)</f>
        <v>197205252002122010</v>
      </c>
      <c r="D166" s="50" t="str">
        <f>VLOOKUP(B166,Dosen!$B$10:$AA$312,10,0)</f>
        <v>Dosen</v>
      </c>
      <c r="E166" s="12" t="str">
        <f>VLOOKUP(B166,Dosen!$B$10:$AA$312,5,0)</f>
        <v>Jember</v>
      </c>
      <c r="F166" s="152">
        <f>VLOOKUP(B166,Dosen!$B$10:$AA$312,6,0)</f>
        <v>26444</v>
      </c>
      <c r="G166" s="153" t="str">
        <f t="shared" si="11"/>
        <v>1972</v>
      </c>
      <c r="H166" s="50" t="str">
        <f t="shared" ca="1" si="12"/>
        <v>52 Tahun, 4 Bulan, 13 Hari</v>
      </c>
      <c r="I166" s="18">
        <f t="shared" si="13"/>
        <v>2037</v>
      </c>
    </row>
    <row r="167" spans="1:9" x14ac:dyDescent="0.35">
      <c r="A167" s="18">
        <v>38</v>
      </c>
      <c r="B167" s="15" t="str">
        <f>Dosen!B90</f>
        <v>Dr. Martha Ekawati Siahaya, S.Hut., M.P.</v>
      </c>
      <c r="C167" s="155" t="str">
        <f>VLOOKUP(B167,Dosen!$B$10:$AA$312,2,0)</f>
        <v>197211072003122001</v>
      </c>
      <c r="D167" s="50" t="str">
        <f>VLOOKUP(B167,Dosen!$B$10:$AA$312,10,0)</f>
        <v>Dosen</v>
      </c>
      <c r="E167" s="12" t="str">
        <f>VLOOKUP(B167,Dosen!$B$10:$AA$312,5,0)</f>
        <v>Bogor</v>
      </c>
      <c r="F167" s="152">
        <f>VLOOKUP(B167,Dosen!$B$10:$AA$312,6,0)</f>
        <v>26610</v>
      </c>
      <c r="G167" s="153" t="str">
        <f t="shared" si="11"/>
        <v>1972</v>
      </c>
      <c r="H167" s="50" t="str">
        <f t="shared" ca="1" si="12"/>
        <v>51 Tahun, 11 Bulan, 1 Hari</v>
      </c>
      <c r="I167" s="18">
        <f t="shared" si="13"/>
        <v>2037</v>
      </c>
    </row>
    <row r="168" spans="1:9" x14ac:dyDescent="0.35">
      <c r="A168" s="18">
        <v>39</v>
      </c>
      <c r="B168" s="15" t="str">
        <f>Dosen!B135</f>
        <v>Nur Hidayat, S.P., M.Sc.</v>
      </c>
      <c r="C168" s="155" t="str">
        <f>VLOOKUP(B168,Dosen!$B$10:$AA$312,2,0)</f>
        <v>197210252001121001</v>
      </c>
      <c r="D168" s="50" t="str">
        <f>VLOOKUP(B168,Dosen!$B$10:$AA$312,10,0)</f>
        <v>Dosen</v>
      </c>
      <c r="E168" s="12" t="str">
        <f>VLOOKUP(B168,Dosen!$B$10:$AA$312,5,0)</f>
        <v>Samarinda</v>
      </c>
      <c r="F168" s="152">
        <f>VLOOKUP(B168,Dosen!$B$10:$AA$312,6,0)</f>
        <v>26597</v>
      </c>
      <c r="G168" s="153" t="str">
        <f t="shared" si="11"/>
        <v>1972</v>
      </c>
      <c r="H168" s="50" t="str">
        <f t="shared" ca="1" si="12"/>
        <v>51 Tahun, 11 Bulan, 13 Hari</v>
      </c>
      <c r="I168" s="18">
        <f t="shared" si="13"/>
        <v>2037</v>
      </c>
    </row>
    <row r="169" spans="1:9" x14ac:dyDescent="0.35">
      <c r="A169" s="18">
        <v>40</v>
      </c>
      <c r="B169" s="15" t="str">
        <f>Dosen!B151</f>
        <v>Jamaluddin, S.P., M.Si.</v>
      </c>
      <c r="C169" s="155" t="str">
        <f>VLOOKUP(B169,Dosen!$B$10:$AA$312,2,0)</f>
        <v>197206122001121003</v>
      </c>
      <c r="D169" s="50" t="str">
        <f>VLOOKUP(B169,Dosen!$B$10:$AA$312,10,0)</f>
        <v>Dosen</v>
      </c>
      <c r="E169" s="12" t="str">
        <f>VLOOKUP(B169,Dosen!$B$10:$AA$312,5,0)</f>
        <v>Bone</v>
      </c>
      <c r="F169" s="152">
        <f>VLOOKUP(B169,Dosen!$B$10:$AA$312,6,0)</f>
        <v>26462</v>
      </c>
      <c r="G169" s="153" t="str">
        <f t="shared" si="11"/>
        <v>1972</v>
      </c>
      <c r="H169" s="50" t="str">
        <f t="shared" ca="1" si="12"/>
        <v>52 Tahun, 3 Bulan, 26 Hari</v>
      </c>
      <c r="I169" s="18">
        <f t="shared" si="13"/>
        <v>2037</v>
      </c>
    </row>
    <row r="170" spans="1:9" x14ac:dyDescent="0.35">
      <c r="A170" s="18">
        <v>41</v>
      </c>
      <c r="B170" s="15" t="str">
        <f>Dosen!B20</f>
        <v>Dr. Erna Rositah, S.Hut., M.P.</v>
      </c>
      <c r="C170" s="155" t="str">
        <f>VLOOKUP(B170,Dosen!$B$10:$AA$312,2,0)</f>
        <v>197311281999032001</v>
      </c>
      <c r="D170" s="50" t="str">
        <f>VLOOKUP(B170,Dosen!$B$10:$AA$312,10,0)</f>
        <v>Dosen</v>
      </c>
      <c r="E170" s="12" t="str">
        <f>VLOOKUP(B170,Dosen!$B$10:$AA$312,5,0)</f>
        <v>Sesayap</v>
      </c>
      <c r="F170" s="152">
        <f>VLOOKUP(B170,Dosen!$B$10:$AA$312,6,0)</f>
        <v>26996</v>
      </c>
      <c r="G170" s="153" t="str">
        <f t="shared" si="11"/>
        <v>1973</v>
      </c>
      <c r="H170" s="50" t="str">
        <f t="shared" ca="1" si="12"/>
        <v>50 Tahun, 10 Bulan, 10 Hari</v>
      </c>
      <c r="I170" s="18">
        <f t="shared" si="13"/>
        <v>2038</v>
      </c>
    </row>
    <row r="171" spans="1:9" x14ac:dyDescent="0.35">
      <c r="A171" s="18">
        <v>42</v>
      </c>
      <c r="B171" s="15" t="str">
        <f>Dosen!B138</f>
        <v>Roby, S.P., M.P.</v>
      </c>
      <c r="C171" s="155" t="str">
        <f>VLOOKUP(B171,Dosen!$B$10:$AA$312,2,0)</f>
        <v>197305172005011009</v>
      </c>
      <c r="D171" s="50" t="str">
        <f>VLOOKUP(B171,Dosen!$B$10:$AA$312,10,0)</f>
        <v>Dosen</v>
      </c>
      <c r="E171" s="12" t="str">
        <f>VLOOKUP(B171,Dosen!$B$10:$AA$312,5,0)</f>
        <v>Palopo</v>
      </c>
      <c r="F171" s="152">
        <f>VLOOKUP(B171,Dosen!$B$10:$AA$312,6,0)</f>
        <v>26801</v>
      </c>
      <c r="G171" s="153" t="str">
        <f t="shared" si="11"/>
        <v>1973</v>
      </c>
      <c r="H171" s="50" t="str">
        <f t="shared" ca="1" si="12"/>
        <v>51 Tahun, 4 Bulan, 21 Hari</v>
      </c>
      <c r="I171" s="18">
        <f t="shared" si="13"/>
        <v>2038</v>
      </c>
    </row>
    <row r="172" spans="1:9" x14ac:dyDescent="0.35">
      <c r="A172" s="18">
        <v>43</v>
      </c>
      <c r="B172" s="15" t="e">
        <f>Dosen!#REF!</f>
        <v>#REF!</v>
      </c>
      <c r="C172" s="155" t="e">
        <f>VLOOKUP(B172,Dosen!$B$10:$AA$312,2,0)</f>
        <v>#REF!</v>
      </c>
      <c r="D172" s="50" t="e">
        <f>VLOOKUP(B172,Dosen!$B$10:$AA$312,10,0)</f>
        <v>#REF!</v>
      </c>
      <c r="E172" s="12" t="e">
        <f>VLOOKUP(B172,Dosen!$B$10:$AA$312,5,0)</f>
        <v>#REF!</v>
      </c>
      <c r="F172" s="152" t="e">
        <f>VLOOKUP(B172,Dosen!$B$10:$AA$312,6,0)</f>
        <v>#REF!</v>
      </c>
      <c r="G172" s="153" t="e">
        <f t="shared" si="11"/>
        <v>#REF!</v>
      </c>
      <c r="H172" s="50" t="e">
        <f t="shared" ca="1" si="12"/>
        <v>#REF!</v>
      </c>
      <c r="I172" s="18" t="e">
        <f t="shared" si="13"/>
        <v>#REF!</v>
      </c>
    </row>
    <row r="173" spans="1:9" x14ac:dyDescent="0.35">
      <c r="A173" s="18">
        <v>44</v>
      </c>
      <c r="B173" s="15" t="str">
        <f>Dosen!B104</f>
        <v>Muh. Yamin, S.TP., M.Si.</v>
      </c>
      <c r="C173" s="155" t="str">
        <f>VLOOKUP(B173,Dosen!$B$10:$AA$312,2,0)</f>
        <v>197408132002121001</v>
      </c>
      <c r="D173" s="50" t="str">
        <f>VLOOKUP(B173,Dosen!$B$10:$AA$312,10,0)</f>
        <v>Dosen</v>
      </c>
      <c r="E173" s="12" t="str">
        <f>VLOOKUP(B173,Dosen!$B$10:$AA$312,5,0)</f>
        <v>Ujung Pandang</v>
      </c>
      <c r="F173" s="152">
        <f>VLOOKUP(B173,Dosen!$B$10:$AA$312,6,0)</f>
        <v>27254</v>
      </c>
      <c r="G173" s="153" t="str">
        <f t="shared" si="11"/>
        <v>1974</v>
      </c>
      <c r="H173" s="50" t="str">
        <f t="shared" ca="1" si="12"/>
        <v>50 Tahun, 1 Bulan, 25 Hari</v>
      </c>
      <c r="I173" s="18">
        <f t="shared" si="13"/>
        <v>2039</v>
      </c>
    </row>
    <row r="174" spans="1:9" x14ac:dyDescent="0.35">
      <c r="A174" s="18">
        <v>45</v>
      </c>
      <c r="B174" s="15" t="str">
        <f>Dosen!B136</f>
        <v>F. Silvi Dwi Mentari, S.Hut., M.P.</v>
      </c>
      <c r="C174" s="155" t="str">
        <f>VLOOKUP(B174,Dosen!$B$10:$AA$312,2,0)</f>
        <v>197707232003122002</v>
      </c>
      <c r="D174" s="50" t="str">
        <f>VLOOKUP(B174,Dosen!$B$10:$AA$312,10,0)</f>
        <v>Dosen</v>
      </c>
      <c r="E174" s="12" t="str">
        <f>VLOOKUP(B174,Dosen!$B$10:$AA$312,5,0)</f>
        <v>Samarinda</v>
      </c>
      <c r="F174" s="152">
        <f>VLOOKUP(B174,Dosen!$B$10:$AA$312,6,0)</f>
        <v>27038</v>
      </c>
      <c r="G174" s="153" t="str">
        <f t="shared" si="11"/>
        <v>1977</v>
      </c>
      <c r="H174" s="50" t="str">
        <f t="shared" ca="1" si="12"/>
        <v>50 Tahun, 8 Bulan, 29 Hari</v>
      </c>
      <c r="I174" s="18">
        <f t="shared" si="13"/>
        <v>2042</v>
      </c>
    </row>
    <row r="175" spans="1:9" x14ac:dyDescent="0.35">
      <c r="A175" s="18">
        <v>46</v>
      </c>
      <c r="B175" s="15" t="str">
        <f>Dosen!B174</f>
        <v>Faradilla, S.P., M.Sc.</v>
      </c>
      <c r="C175" s="155" t="str">
        <f>VLOOKUP(B175,Dosen!$B$10:$AA$312,2,0)</f>
        <v>197401092000122001</v>
      </c>
      <c r="D175" s="50" t="str">
        <f>VLOOKUP(B175,Dosen!$B$10:$AA$312,10,0)</f>
        <v>Dosen</v>
      </c>
      <c r="E175" s="12" t="str">
        <f>VLOOKUP(B175,Dosen!$B$10:$AA$312,5,0)</f>
        <v>Samarinda</v>
      </c>
      <c r="F175" s="152">
        <f>VLOOKUP(B175,Dosen!$B$10:$AA$312,6,0)</f>
        <v>27038</v>
      </c>
      <c r="G175" s="153" t="str">
        <f t="shared" si="11"/>
        <v>1974</v>
      </c>
      <c r="H175" s="50" t="str">
        <f t="shared" ca="1" si="12"/>
        <v>50 Tahun, 8 Bulan, 29 Hari</v>
      </c>
      <c r="I175" s="18">
        <f t="shared" si="13"/>
        <v>2039</v>
      </c>
    </row>
    <row r="176" spans="1:9" x14ac:dyDescent="0.35">
      <c r="A176" s="18">
        <v>47</v>
      </c>
      <c r="B176" s="15" t="str">
        <f>Dosen!B200</f>
        <v>Budi Rachmadani, M.Pd.</v>
      </c>
      <c r="C176" s="155" t="str">
        <f>VLOOKUP(B176,Dosen!$B$10:$AA$312,2,0)</f>
        <v>197410132001121003</v>
      </c>
      <c r="D176" s="50" t="str">
        <f>VLOOKUP(B176,Dosen!$B$10:$AA$312,10,0)</f>
        <v>Dosen</v>
      </c>
      <c r="E176" s="12" t="str">
        <f>VLOOKUP(B176,Dosen!$B$10:$AA$312,5,0)</f>
        <v>Balikpapan</v>
      </c>
      <c r="F176" s="152">
        <f>VLOOKUP(B176,Dosen!$B$10:$AA$312,6,0)</f>
        <v>27315</v>
      </c>
      <c r="G176" s="153" t="str">
        <f t="shared" si="11"/>
        <v>1974</v>
      </c>
      <c r="H176" s="50" t="str">
        <f t="shared" ca="1" si="12"/>
        <v>49 Tahun, 11 Bulan, 25 Hari</v>
      </c>
      <c r="I176" s="18">
        <f t="shared" si="13"/>
        <v>2039</v>
      </c>
    </row>
    <row r="177" spans="1:9" x14ac:dyDescent="0.35">
      <c r="A177" s="18">
        <v>48</v>
      </c>
      <c r="B177" s="15" t="str">
        <f>Dosen!B53</f>
        <v>Dr. Taufiq Rinda Alkas, S.Si., M.Pd.</v>
      </c>
      <c r="C177" s="155" t="str">
        <f>VLOOKUP(B177,Dosen!$B$10:$AA$312,2,0)</f>
        <v>197805172009121002</v>
      </c>
      <c r="D177" s="50" t="str">
        <f>VLOOKUP(B177,Dosen!$B$10:$AA$312,10,0)</f>
        <v>Dosen</v>
      </c>
      <c r="E177" s="12" t="str">
        <f>VLOOKUP(B177,Dosen!$B$10:$AA$312,5,0)</f>
        <v>Samarinda</v>
      </c>
      <c r="F177" s="152">
        <f>VLOOKUP(B177,Dosen!$B$10:$AA$312,6,0)</f>
        <v>27535</v>
      </c>
      <c r="G177" s="153" t="str">
        <f t="shared" si="11"/>
        <v>1978</v>
      </c>
      <c r="H177" s="50" t="str">
        <f t="shared" ca="1" si="12"/>
        <v>49 Tahun, 4 Bulan, 17 Hari</v>
      </c>
      <c r="I177" s="18">
        <f t="shared" si="13"/>
        <v>2043</v>
      </c>
    </row>
    <row r="178" spans="1:9" x14ac:dyDescent="0.35">
      <c r="A178" s="18">
        <v>49</v>
      </c>
      <c r="B178" s="15" t="str">
        <f>Dosen!B70</f>
        <v>Eva Nurmarini, S.Hut., M.P.</v>
      </c>
      <c r="C178" s="155" t="str">
        <f>VLOOKUP(B178,Dosen!$B$10:$AA$312,2,0)</f>
        <v>197508081999032002</v>
      </c>
      <c r="D178" s="50" t="str">
        <f>VLOOKUP(B178,Dosen!$B$10:$AA$312,10,0)</f>
        <v>Dosen</v>
      </c>
      <c r="E178" s="12" t="str">
        <f>VLOOKUP(B178,Dosen!$B$10:$AA$312,5,0)</f>
        <v>Balikpapan</v>
      </c>
      <c r="F178" s="152">
        <f>VLOOKUP(B178,Dosen!$B$10:$AA$312,6,0)</f>
        <v>27614</v>
      </c>
      <c r="G178" s="153" t="str">
        <f t="shared" si="11"/>
        <v>1975</v>
      </c>
      <c r="H178" s="50" t="str">
        <f t="shared" ca="1" si="12"/>
        <v>49 Tahun, 2 Bulan, 0 Hari</v>
      </c>
      <c r="I178" s="18">
        <f t="shared" si="13"/>
        <v>2040</v>
      </c>
    </row>
    <row r="179" spans="1:9" x14ac:dyDescent="0.35">
      <c r="A179" s="18">
        <v>50</v>
      </c>
      <c r="B179" s="15" t="str">
        <f>Dosen!B72</f>
        <v>Dr. Abdul Rasyid Zarta, S.Hut., M.P.</v>
      </c>
      <c r="C179" s="155" t="str">
        <f>VLOOKUP(B179,Dosen!$B$10:$AA$312,2,0)</f>
        <v>197508271999031001</v>
      </c>
      <c r="D179" s="50" t="str">
        <f>VLOOKUP(B179,Dosen!$B$10:$AA$312,10,0)</f>
        <v>Dosen</v>
      </c>
      <c r="E179" s="12" t="str">
        <f>VLOOKUP(B179,Dosen!$B$10:$AA$312,5,0)</f>
        <v>Kembang Janggut</v>
      </c>
      <c r="F179" s="152">
        <f>VLOOKUP(B179,Dosen!$B$10:$AA$312,6,0)</f>
        <v>27633</v>
      </c>
      <c r="G179" s="153" t="str">
        <f t="shared" si="11"/>
        <v>1975</v>
      </c>
      <c r="H179" s="50" t="str">
        <f t="shared" ca="1" si="12"/>
        <v>49 Tahun, 1 Bulan, 11 Hari</v>
      </c>
      <c r="I179" s="18">
        <f t="shared" si="13"/>
        <v>2040</v>
      </c>
    </row>
    <row r="180" spans="1:9" x14ac:dyDescent="0.35">
      <c r="A180" s="18">
        <v>51</v>
      </c>
      <c r="B180" s="15" t="str">
        <f>Dosen!B89</f>
        <v>Fachruddin Azwari, S.T., M.Si.</v>
      </c>
      <c r="C180" s="155" t="str">
        <f>VLOOKUP(B180,Dosen!$B$10:$AA$312,2,0)</f>
        <v>197505212008121001</v>
      </c>
      <c r="D180" s="50" t="str">
        <f>VLOOKUP(B180,Dosen!$B$10:$AA$312,10,0)</f>
        <v>Dosen</v>
      </c>
      <c r="E180" s="12" t="str">
        <f>VLOOKUP(B180,Dosen!$B$10:$AA$312,5,0)</f>
        <v>Samarinda</v>
      </c>
      <c r="F180" s="152">
        <f>VLOOKUP(B180,Dosen!$B$10:$AA$312,6,0)</f>
        <v>27535</v>
      </c>
      <c r="G180" s="153" t="str">
        <f t="shared" si="11"/>
        <v>1975</v>
      </c>
      <c r="H180" s="50" t="str">
        <f t="shared" ca="1" si="12"/>
        <v>49 Tahun, 4 Bulan, 17 Hari</v>
      </c>
      <c r="I180" s="18">
        <f t="shared" si="13"/>
        <v>2040</v>
      </c>
    </row>
    <row r="181" spans="1:9" x14ac:dyDescent="0.35">
      <c r="A181" s="18">
        <v>52</v>
      </c>
      <c r="B181" s="15" t="str">
        <f>Dosen!B92</f>
        <v>Adi Supriadi, S.Hut., M.Si.</v>
      </c>
      <c r="C181" s="155" t="str">
        <f>VLOOKUP(B181,Dosen!$B$10:$AA$312,2,0)</f>
        <v>197510072008121001</v>
      </c>
      <c r="D181" s="50" t="str">
        <f>VLOOKUP(B181,Dosen!$B$10:$AA$312,10,0)</f>
        <v>Dosen</v>
      </c>
      <c r="E181" s="12" t="str">
        <f>VLOOKUP(B181,Dosen!$B$10:$AA$312,5,0)</f>
        <v>Malang</v>
      </c>
      <c r="F181" s="152">
        <f>VLOOKUP(B181,Dosen!$B$10:$AA$312,6,0)</f>
        <v>27674</v>
      </c>
      <c r="G181" s="153" t="str">
        <f t="shared" si="11"/>
        <v>1975</v>
      </c>
      <c r="H181" s="50" t="str">
        <f t="shared" ca="1" si="12"/>
        <v>49 Tahun, 0 Bulan, 1 Hari</v>
      </c>
      <c r="I181" s="18">
        <f t="shared" si="13"/>
        <v>2040</v>
      </c>
    </row>
    <row r="182" spans="1:9" x14ac:dyDescent="0.35">
      <c r="A182" s="18">
        <v>53</v>
      </c>
      <c r="B182" s="15" t="str">
        <f>Dosen!B106</f>
        <v>Dr. Andi Lisnawati, S.P., M.Si.</v>
      </c>
      <c r="C182" s="155" t="str">
        <f>VLOOKUP(B182,Dosen!$B$10:$AA$312,2,0)</f>
        <v>197502102003122002</v>
      </c>
      <c r="D182" s="50" t="str">
        <f>VLOOKUP(B182,Dosen!$B$10:$AA$312,10,0)</f>
        <v>Dosen</v>
      </c>
      <c r="E182" s="12" t="str">
        <f>VLOOKUP(B182,Dosen!$B$10:$AA$312,5,0)</f>
        <v>Bulukumba</v>
      </c>
      <c r="F182" s="152">
        <f>VLOOKUP(B182,Dosen!$B$10:$AA$312,6,0)</f>
        <v>27435</v>
      </c>
      <c r="G182" s="153" t="str">
        <f t="shared" si="11"/>
        <v>1975</v>
      </c>
      <c r="H182" s="50" t="str">
        <f t="shared" ca="1" si="12"/>
        <v>49 Tahun, 7 Bulan, 28 Hari</v>
      </c>
      <c r="I182" s="18">
        <f t="shared" si="13"/>
        <v>2040</v>
      </c>
    </row>
    <row r="183" spans="1:9" x14ac:dyDescent="0.35">
      <c r="A183" s="18">
        <v>54</v>
      </c>
      <c r="B183" s="15" t="str">
        <f>Dosen!B155</f>
        <v>Puspita, S.E., M.Pd.</v>
      </c>
      <c r="C183" s="155" t="str">
        <f>VLOOKUP(B183,Dosen!$B$10:$AA$312,2,0)</f>
        <v>197507082001122003</v>
      </c>
      <c r="D183" s="50" t="str">
        <f>VLOOKUP(B183,Dosen!$B$10:$AA$312,10,0)</f>
        <v>Dosen</v>
      </c>
      <c r="E183" s="12" t="str">
        <f>VLOOKUP(B183,Dosen!$B$10:$AA$312,5,0)</f>
        <v>Samarinda</v>
      </c>
      <c r="F183" s="152">
        <f>VLOOKUP(B183,Dosen!$B$10:$AA$312,6,0)</f>
        <v>27583</v>
      </c>
      <c r="G183" s="153" t="str">
        <f t="shared" si="11"/>
        <v>1975</v>
      </c>
      <c r="H183" s="50" t="str">
        <f t="shared" ca="1" si="12"/>
        <v>49 Tahun, 3 Bulan, 0 Hari</v>
      </c>
      <c r="I183" s="18">
        <f t="shared" si="13"/>
        <v>2040</v>
      </c>
    </row>
    <row r="184" spans="1:9" x14ac:dyDescent="0.35">
      <c r="A184" s="18">
        <v>55</v>
      </c>
      <c r="B184" s="15" t="str">
        <f>Dosen!B105</f>
        <v>Anis Syauqi, S.TP., M.Sc.</v>
      </c>
      <c r="C184" s="155" t="str">
        <f>VLOOKUP(B184,Dosen!$B$10:$AA$312,2,0)</f>
        <v>197612092003121002</v>
      </c>
      <c r="D184" s="50" t="str">
        <f>VLOOKUP(B184,Dosen!$B$10:$AA$312,10,0)</f>
        <v>Dosen</v>
      </c>
      <c r="E184" s="12" t="str">
        <f>VLOOKUP(B184,Dosen!$B$10:$AA$312,5,0)</f>
        <v>Kulonprogo</v>
      </c>
      <c r="F184" s="152">
        <f>VLOOKUP(B184,Dosen!$B$10:$AA$312,6,0)</f>
        <v>28103</v>
      </c>
      <c r="G184" s="153" t="str">
        <f t="shared" si="11"/>
        <v>1976</v>
      </c>
      <c r="H184" s="50" t="str">
        <f t="shared" ca="1" si="12"/>
        <v>47 Tahun, 9 Bulan, 29 Hari</v>
      </c>
      <c r="I184" s="18">
        <f t="shared" si="13"/>
        <v>2041</v>
      </c>
    </row>
    <row r="185" spans="1:9" x14ac:dyDescent="0.35">
      <c r="A185" s="18">
        <v>56</v>
      </c>
      <c r="B185" s="15" t="e">
        <f>Dosen!#REF!</f>
        <v>#REF!</v>
      </c>
      <c r="C185" s="155" t="e">
        <f>VLOOKUP(B185,Dosen!$B$10:$AA$312,2,0)</f>
        <v>#REF!</v>
      </c>
      <c r="D185" s="50" t="e">
        <f>VLOOKUP(B185,Dosen!$B$10:$AA$312,10,0)</f>
        <v>#REF!</v>
      </c>
      <c r="E185" s="12" t="e">
        <f>VLOOKUP(B185,Dosen!$B$10:$AA$312,5,0)</f>
        <v>#REF!</v>
      </c>
      <c r="F185" s="152" t="e">
        <f>VLOOKUP(B185,Dosen!$B$10:$AA$312,6,0)</f>
        <v>#REF!</v>
      </c>
      <c r="G185" s="153" t="e">
        <f t="shared" si="11"/>
        <v>#REF!</v>
      </c>
      <c r="H185" s="50" t="e">
        <f t="shared" ca="1" si="12"/>
        <v>#REF!</v>
      </c>
      <c r="I185" s="18" t="e">
        <f t="shared" si="13"/>
        <v>#REF!</v>
      </c>
    </row>
    <row r="186" spans="1:9" x14ac:dyDescent="0.35">
      <c r="A186" s="18">
        <v>57</v>
      </c>
      <c r="B186" s="15" t="str">
        <f>Dosen!B109</f>
        <v>M. Atta Bary, S.P., M.Si.</v>
      </c>
      <c r="C186" s="155" t="str">
        <f>VLOOKUP(B186,Dosen!$B$10:$AA$312,2,0)</f>
        <v>197607272003121002</v>
      </c>
      <c r="D186" s="50" t="str">
        <f>VLOOKUP(B186,Dosen!$B$10:$AA$312,10,0)</f>
        <v>Dosen</v>
      </c>
      <c r="E186" s="12" t="str">
        <f>VLOOKUP(B186,Dosen!$B$10:$AA$312,5,0)</f>
        <v>Samarinda</v>
      </c>
      <c r="F186" s="152">
        <f>VLOOKUP(B186,Dosen!$B$10:$AA$312,6,0)</f>
        <v>24680</v>
      </c>
      <c r="G186" s="153" t="str">
        <f t="shared" si="11"/>
        <v>1976</v>
      </c>
      <c r="H186" s="50" t="str">
        <f t="shared" ca="1" si="12"/>
        <v>57 Tahun, 2 Bulan, 11 Hari</v>
      </c>
      <c r="I186" s="18">
        <f t="shared" si="13"/>
        <v>2041</v>
      </c>
    </row>
    <row r="187" spans="1:9" x14ac:dyDescent="0.35">
      <c r="A187" s="18">
        <v>58</v>
      </c>
      <c r="B187" s="15" t="str">
        <f>Dosen!B187</f>
        <v>Andrew Stefano, M.T.</v>
      </c>
      <c r="C187" s="155" t="str">
        <f>VLOOKUP(B187,Dosen!$B$10:$AA$312,2,0)</f>
        <v>197603152009121002</v>
      </c>
      <c r="D187" s="50" t="str">
        <f>VLOOKUP(B187,Dosen!$B$10:$AA$312,10,0)</f>
        <v>Dosen</v>
      </c>
      <c r="E187" s="12" t="str">
        <f>VLOOKUP(B187,Dosen!$B$10:$AA$312,5,0)</f>
        <v>Jakarta</v>
      </c>
      <c r="F187" s="152">
        <f>VLOOKUP(B187,Dosen!$B$10:$AA$312,6,0)</f>
        <v>27834</v>
      </c>
      <c r="G187" s="153" t="str">
        <f t="shared" si="11"/>
        <v>1976</v>
      </c>
      <c r="H187" s="50" t="str">
        <f t="shared" ca="1" si="12"/>
        <v>48 Tahun, 6 Bulan, 23 Hari</v>
      </c>
      <c r="I187" s="18">
        <f t="shared" si="13"/>
        <v>2041</v>
      </c>
    </row>
    <row r="188" spans="1:9" x14ac:dyDescent="0.35">
      <c r="A188" s="18">
        <v>59</v>
      </c>
      <c r="B188" s="15" t="str">
        <f>Dosen!B150</f>
        <v>Sri Ngapiyatun, S.P., M.P.</v>
      </c>
      <c r="C188" s="155" t="str">
        <f>VLOOKUP(B188,Dosen!$B$10:$AA$312,2,0)</f>
        <v>197708272001122002</v>
      </c>
      <c r="D188" s="50" t="str">
        <f>VLOOKUP(B188,Dosen!$B$10:$AA$312,10,0)</f>
        <v>Dosen</v>
      </c>
      <c r="E188" s="12" t="str">
        <f>VLOOKUP(B188,Dosen!$B$10:$AA$312,5,0)</f>
        <v>Pati</v>
      </c>
      <c r="F188" s="152">
        <f>VLOOKUP(B188,Dosen!$B$10:$AA$312,6,0)</f>
        <v>28364</v>
      </c>
      <c r="G188" s="153" t="str">
        <f t="shared" si="11"/>
        <v>1977</v>
      </c>
      <c r="H188" s="50" t="str">
        <f t="shared" ca="1" si="12"/>
        <v>47 Tahun, 1 Bulan, 11 Hari</v>
      </c>
      <c r="I188" s="18">
        <f t="shared" si="13"/>
        <v>2042</v>
      </c>
    </row>
    <row r="189" spans="1:9" x14ac:dyDescent="0.35">
      <c r="A189" s="18">
        <v>60</v>
      </c>
      <c r="B189" s="15" t="str">
        <f>Dosen!B153</f>
        <v>Ernita Obeth, M.Agribus., Ph.D.</v>
      </c>
      <c r="C189" s="155" t="str">
        <f>VLOOKUP(B189,Dosen!$B$10:$AA$312,2,0)</f>
        <v>197705242002122001</v>
      </c>
      <c r="D189" s="50" t="str">
        <f>VLOOKUP(B189,Dosen!$B$10:$AA$312,10,0)</f>
        <v>Dosen</v>
      </c>
      <c r="E189" s="12" t="str">
        <f>VLOOKUP(B189,Dosen!$B$10:$AA$312,5,0)</f>
        <v>Ujung Pandang</v>
      </c>
      <c r="F189" s="152">
        <f>VLOOKUP(B189,Dosen!$B$10:$AA$312,6,0)</f>
        <v>28269</v>
      </c>
      <c r="G189" s="153" t="str">
        <f t="shared" si="11"/>
        <v>1977</v>
      </c>
      <c r="H189" s="50" t="str">
        <f t="shared" ca="1" si="12"/>
        <v>47 Tahun, 4 Bulan, 14 Hari</v>
      </c>
      <c r="I189" s="18">
        <f t="shared" si="13"/>
        <v>2042</v>
      </c>
    </row>
    <row r="190" spans="1:9" x14ac:dyDescent="0.35">
      <c r="A190" s="18">
        <v>61</v>
      </c>
      <c r="B190" s="15" t="str">
        <f>Dosen!B156</f>
        <v>Rossy Mirasari, S.P., M.P.</v>
      </c>
      <c r="C190" s="155" t="str">
        <f>VLOOKUP(B190,Dosen!$B$10:$AA$312,2,0)</f>
        <v>197806242005012002</v>
      </c>
      <c r="D190" s="50" t="str">
        <f>VLOOKUP(B190,Dosen!$B$10:$AA$312,10,0)</f>
        <v>Dosen</v>
      </c>
      <c r="E190" s="12" t="str">
        <f>VLOOKUP(B190,Dosen!$B$10:$AA$312,5,0)</f>
        <v>Sanga-Sanga</v>
      </c>
      <c r="F190" s="152">
        <f>VLOOKUP(B190,Dosen!$B$10:$AA$312,6,0)</f>
        <v>28665</v>
      </c>
      <c r="G190" s="153" t="str">
        <f t="shared" si="11"/>
        <v>1978</v>
      </c>
      <c r="H190" s="50" t="str">
        <f t="shared" ca="1" si="12"/>
        <v>46 Tahun, 3 Bulan, 14 Hari</v>
      </c>
      <c r="I190" s="18">
        <f t="shared" si="13"/>
        <v>2043</v>
      </c>
    </row>
    <row r="191" spans="1:9" x14ac:dyDescent="0.35">
      <c r="A191" s="18">
        <v>62</v>
      </c>
      <c r="B191" s="15" t="str">
        <f>Dosen!B175</f>
        <v>Haryatie Sarie, S.P., M.P.</v>
      </c>
      <c r="C191" s="155" t="str">
        <f>VLOOKUP(B191,Dosen!$B$10:$AA$312,2,0)</f>
        <v>197810132009122001</v>
      </c>
      <c r="D191" s="50" t="str">
        <f>VLOOKUP(B191,Dosen!$B$10:$AA$312,10,0)</f>
        <v>Dosen</v>
      </c>
      <c r="E191" s="12" t="str">
        <f>VLOOKUP(B191,Dosen!$B$10:$AA$312,5,0)</f>
        <v>Berau</v>
      </c>
      <c r="F191" s="152">
        <f>VLOOKUP(B191,Dosen!$B$10:$AA$312,6,0)</f>
        <v>28776</v>
      </c>
      <c r="G191" s="153" t="str">
        <f t="shared" si="11"/>
        <v>1978</v>
      </c>
      <c r="H191" s="50" t="str">
        <f t="shared" ca="1" si="12"/>
        <v>45 Tahun, 11 Bulan, 25 Hari</v>
      </c>
      <c r="I191" s="18">
        <f t="shared" si="13"/>
        <v>2043</v>
      </c>
    </row>
    <row r="192" spans="1:9" x14ac:dyDescent="0.35">
      <c r="A192" s="18">
        <v>63</v>
      </c>
      <c r="B192" s="15" t="str">
        <f>Dosen!B201</f>
        <v>Husmul Beze, S.Hut., M.Si.</v>
      </c>
      <c r="C192" s="155" t="str">
        <f>VLOOKUP(B192,Dosen!$B$10:$AA$312,2,0)</f>
        <v>197906132008121003</v>
      </c>
      <c r="D192" s="50" t="str">
        <f>VLOOKUP(B192,Dosen!$B$10:$AA$312,10,0)</f>
        <v>Dosen</v>
      </c>
      <c r="E192" s="12" t="str">
        <f>VLOOKUP(B192,Dosen!$B$10:$AA$312,5,0)</f>
        <v>Surabaya</v>
      </c>
      <c r="F192" s="152">
        <f>VLOOKUP(B192,Dosen!$B$10:$AA$312,6,0)</f>
        <v>29019</v>
      </c>
      <c r="G192" s="153" t="str">
        <f t="shared" si="11"/>
        <v>1979</v>
      </c>
      <c r="H192" s="50" t="str">
        <f t="shared" ca="1" si="12"/>
        <v>45 Tahun, 3 Bulan, 25 Hari</v>
      </c>
      <c r="I192" s="18">
        <f t="shared" si="13"/>
        <v>2044</v>
      </c>
    </row>
    <row r="193" spans="1:9" x14ac:dyDescent="0.35">
      <c r="A193" s="18">
        <v>64</v>
      </c>
      <c r="B193" s="15" t="str">
        <f>Dosen!B139</f>
        <v>Daryono, S.P., M.P.</v>
      </c>
      <c r="C193" s="155" t="str">
        <f>VLOOKUP(B193,Dosen!$B$10:$AA$312,2,0)</f>
        <v>198002022008121002</v>
      </c>
      <c r="D193" s="50" t="str">
        <f>VLOOKUP(B193,Dosen!$B$10:$AA$312,10,0)</f>
        <v>Dosen</v>
      </c>
      <c r="E193" s="12" t="str">
        <f>VLOOKUP(B193,Dosen!$B$10:$AA$312,5,0)</f>
        <v>Ngawi</v>
      </c>
      <c r="F193" s="152">
        <f>VLOOKUP(B193,Dosen!$B$10:$AA$312,6,0)</f>
        <v>29253</v>
      </c>
      <c r="G193" s="153" t="str">
        <f t="shared" si="11"/>
        <v>1980</v>
      </c>
      <c r="H193" s="50" t="str">
        <f t="shared" ca="1" si="12"/>
        <v>44 Tahun, 8 Bulan, 6 Hari</v>
      </c>
      <c r="I193" s="18">
        <f t="shared" si="13"/>
        <v>2045</v>
      </c>
    </row>
    <row r="194" spans="1:9" x14ac:dyDescent="0.35">
      <c r="A194" s="18">
        <v>65</v>
      </c>
      <c r="B194" s="15" t="str">
        <f>Dosen!B172</f>
        <v>Rusmini, S.P., M.P.</v>
      </c>
      <c r="C194" s="155" t="str">
        <f>VLOOKUP(B194,Dosen!$B$10:$AA$312,2,0)</f>
        <v>198111302008122002</v>
      </c>
      <c r="D194" s="50" t="str">
        <f>VLOOKUP(B194,Dosen!$B$10:$AA$312,10,0)</f>
        <v>Dosen</v>
      </c>
      <c r="E194" s="12" t="str">
        <f>VLOOKUP(B194,Dosen!$B$10:$AA$312,5,0)</f>
        <v>Barabai</v>
      </c>
      <c r="F194" s="152">
        <f>VLOOKUP(B194,Dosen!$B$10:$AA$312,6,0)</f>
        <v>29920</v>
      </c>
      <c r="G194" s="153" t="str">
        <f t="shared" ref="G194:G225" si="14">MID(C194,1,4)</f>
        <v>1981</v>
      </c>
      <c r="H194" s="50" t="str">
        <f t="shared" ref="H194:H225" ca="1" si="15">DATEDIF(F194,$A$5,"Y") &amp;" Tahun, "&amp;DATEDIF(F194,$A$5,"YM") &amp;" Bulan, "&amp;DATEDIF(F194,$A$5,"MD") &amp;" Hari"</f>
        <v>42 Tahun, 10 Bulan, 8 Hari</v>
      </c>
      <c r="I194" s="18">
        <f t="shared" ref="I194:I225" si="16">IF(D194="Dosen",G194+65,G194+5)</f>
        <v>2046</v>
      </c>
    </row>
    <row r="195" spans="1:9" x14ac:dyDescent="0.35">
      <c r="A195" s="18">
        <v>66</v>
      </c>
      <c r="B195" s="15" t="str">
        <f>Dosen!B54</f>
        <v>Nuzula Elfa Rahma, S.P., M.Sc.</v>
      </c>
      <c r="C195" s="155" t="str">
        <f>VLOOKUP(B195,Dosen!$B$10:$AA$312,2,0)</f>
        <v>198207132014042001</v>
      </c>
      <c r="D195" s="50" t="str">
        <f>VLOOKUP(B195,Dosen!$B$10:$AA$312,10,0)</f>
        <v>Dosen</v>
      </c>
      <c r="E195" s="12" t="str">
        <f>VLOOKUP(B195,Dosen!$B$10:$AA$312,5,0)</f>
        <v>Samarinda</v>
      </c>
      <c r="F195" s="152">
        <f>VLOOKUP(B195,Dosen!$B$10:$AA$312,6,0)</f>
        <v>30145</v>
      </c>
      <c r="G195" s="153" t="str">
        <f t="shared" si="14"/>
        <v>1982</v>
      </c>
      <c r="H195" s="50" t="str">
        <f t="shared" ca="1" si="15"/>
        <v>42 Tahun, 2 Bulan, 25 Hari</v>
      </c>
      <c r="I195" s="18">
        <f t="shared" si="16"/>
        <v>2047</v>
      </c>
    </row>
    <row r="196" spans="1:9" x14ac:dyDescent="0.35">
      <c r="A196" s="18">
        <v>67</v>
      </c>
      <c r="B196" s="15" t="str">
        <f>Dosen!B162</f>
        <v>Fahrizal, S.P., M.P.</v>
      </c>
      <c r="C196" s="155" t="str">
        <f>VLOOKUP(B196,Dosen!$B$10:$AA$312,2,0)</f>
        <v>198211172023211010</v>
      </c>
      <c r="D196" s="50" t="str">
        <f>VLOOKUP(B196,Dosen!$B$10:$AA$312,10,0)</f>
        <v>Dosen</v>
      </c>
      <c r="E196" s="12" t="str">
        <f>VLOOKUP(B196,Dosen!$B$10:$AA$312,5,0)</f>
        <v>Samarinda</v>
      </c>
      <c r="F196" s="152">
        <f>VLOOKUP(B196,Dosen!$B$10:$AA$312,6,0)</f>
        <v>30272</v>
      </c>
      <c r="G196" s="153" t="str">
        <f t="shared" si="14"/>
        <v>1982</v>
      </c>
      <c r="H196" s="50" t="str">
        <f t="shared" ca="1" si="15"/>
        <v>41 Tahun, 10 Bulan, 21 Hari</v>
      </c>
      <c r="I196" s="18">
        <f t="shared" si="16"/>
        <v>2047</v>
      </c>
    </row>
    <row r="197" spans="1:9" x14ac:dyDescent="0.35">
      <c r="A197" s="18">
        <v>68</v>
      </c>
      <c r="B197" s="15" t="str">
        <f>Dosen!B88</f>
        <v>Kemala Hadidjah, S.T., M.Si.</v>
      </c>
      <c r="C197" s="155" t="str">
        <f>VLOOKUP(B197,Dosen!$B$10:$AA$312,2,0)</f>
        <v>198307182010122004</v>
      </c>
      <c r="D197" s="50" t="str">
        <f>VLOOKUP(B197,Dosen!$B$10:$AA$312,10,0)</f>
        <v>Dosen</v>
      </c>
      <c r="E197" s="12" t="str">
        <f>VLOOKUP(B197,Dosen!$B$10:$AA$312,5,0)</f>
        <v>Malang</v>
      </c>
      <c r="F197" s="152">
        <f>VLOOKUP(B197,Dosen!$B$10:$AA$312,6,0)</f>
        <v>30515</v>
      </c>
      <c r="G197" s="153" t="str">
        <f t="shared" si="14"/>
        <v>1983</v>
      </c>
      <c r="H197" s="50" t="str">
        <f t="shared" ca="1" si="15"/>
        <v>41 Tahun, 2 Bulan, 20 Hari</v>
      </c>
      <c r="I197" s="18">
        <f t="shared" si="16"/>
        <v>2048</v>
      </c>
    </row>
    <row r="198" spans="1:9" x14ac:dyDescent="0.35">
      <c r="A198" s="18">
        <v>69</v>
      </c>
      <c r="B198" s="15" t="e">
        <f>Dosen!#REF!</f>
        <v>#REF!</v>
      </c>
      <c r="C198" s="155" t="e">
        <f>VLOOKUP(B198,Dosen!$B$10:$AA$312,2,0)</f>
        <v>#REF!</v>
      </c>
      <c r="D198" s="50" t="e">
        <f>VLOOKUP(B198,Dosen!$B$10:$AA$312,10,0)</f>
        <v>#REF!</v>
      </c>
      <c r="E198" s="12" t="e">
        <f>VLOOKUP(B198,Dosen!$B$10:$AA$312,5,0)</f>
        <v>#REF!</v>
      </c>
      <c r="F198" s="152" t="e">
        <f>VLOOKUP(B198,Dosen!$B$10:$AA$312,6,0)</f>
        <v>#REF!</v>
      </c>
      <c r="G198" s="153" t="e">
        <f t="shared" si="14"/>
        <v>#REF!</v>
      </c>
      <c r="H198" s="50" t="e">
        <f t="shared" ca="1" si="15"/>
        <v>#REF!</v>
      </c>
      <c r="I198" s="18" t="e">
        <f t="shared" si="16"/>
        <v>#REF!</v>
      </c>
    </row>
    <row r="199" spans="1:9" x14ac:dyDescent="0.35">
      <c r="A199" s="18">
        <v>70</v>
      </c>
      <c r="B199" s="15" t="str">
        <f>Dosen!B202</f>
        <v>Yulianto, S.Kom., M.MT.</v>
      </c>
      <c r="C199" s="155" t="str">
        <f>VLOOKUP(B199,Dosen!$B$10:$AA$312,2,0)</f>
        <v>198307192009121007</v>
      </c>
      <c r="D199" s="50" t="str">
        <f>VLOOKUP(B199,Dosen!$B$10:$AA$312,10,0)</f>
        <v>Dosen</v>
      </c>
      <c r="E199" s="12" t="str">
        <f>VLOOKUP(B199,Dosen!$B$10:$AA$312,5,0)</f>
        <v>Samarinda</v>
      </c>
      <c r="F199" s="152">
        <f>VLOOKUP(B199,Dosen!$B$10:$AA$312,6,0)</f>
        <v>30516</v>
      </c>
      <c r="G199" s="153" t="str">
        <f t="shared" si="14"/>
        <v>1983</v>
      </c>
      <c r="H199" s="50" t="str">
        <f t="shared" ca="1" si="15"/>
        <v>41 Tahun, 2 Bulan, 19 Hari</v>
      </c>
      <c r="I199" s="18">
        <f t="shared" si="16"/>
        <v>2048</v>
      </c>
    </row>
    <row r="200" spans="1:9" x14ac:dyDescent="0.35">
      <c r="A200" s="18">
        <v>71</v>
      </c>
      <c r="B200" s="15" t="str">
        <f>Dosen!B157</f>
        <v>Humairo Aziza, S.Hut., M.P.</v>
      </c>
      <c r="C200" s="155" t="str">
        <f>VLOOKUP(B200,Dosen!$B$10:$AA$312,2,0)</f>
        <v>198401082019032009</v>
      </c>
      <c r="D200" s="50" t="str">
        <f>VLOOKUP(B200,Dosen!$B$10:$AA$312,10,0)</f>
        <v>Dosen</v>
      </c>
      <c r="E200" s="12" t="str">
        <f>VLOOKUP(B200,Dosen!$B$10:$AA$312,5,0)</f>
        <v>Samarinda</v>
      </c>
      <c r="F200" s="152">
        <f>VLOOKUP(B200,Dosen!$B$10:$AA$312,6,0)</f>
        <v>30689</v>
      </c>
      <c r="G200" s="153" t="str">
        <f t="shared" si="14"/>
        <v>1984</v>
      </c>
      <c r="H200" s="50" t="str">
        <f t="shared" ca="1" si="15"/>
        <v>40 Tahun, 9 Bulan, 0 Hari</v>
      </c>
      <c r="I200" s="18">
        <f t="shared" si="16"/>
        <v>2049</v>
      </c>
    </row>
    <row r="201" spans="1:9" x14ac:dyDescent="0.35">
      <c r="A201" s="18">
        <v>72</v>
      </c>
      <c r="B201" s="15" t="str">
        <f>Dosen!B223</f>
        <v>Nia Kurniadin, S.Pd., M.T.</v>
      </c>
      <c r="C201" s="155" t="str">
        <f>VLOOKUP(B201,Dosen!$B$10:$AA$312,2,0)</f>
        <v>198402222018031001</v>
      </c>
      <c r="D201" s="50" t="str">
        <f>VLOOKUP(B201,Dosen!$B$10:$AA$312,10,0)</f>
        <v>Dosen</v>
      </c>
      <c r="E201" s="12" t="str">
        <f>VLOOKUP(B201,Dosen!$B$10:$AA$312,5,0)</f>
        <v>Parigi Moutong</v>
      </c>
      <c r="F201" s="152">
        <f>VLOOKUP(B201,Dosen!$B$10:$AA$312,6,0)</f>
        <v>30734</v>
      </c>
      <c r="G201" s="153" t="str">
        <f t="shared" si="14"/>
        <v>1984</v>
      </c>
      <c r="H201" s="50" t="str">
        <f t="shared" ca="1" si="15"/>
        <v>40 Tahun, 7 Bulan, 16 Hari</v>
      </c>
      <c r="I201" s="18">
        <f t="shared" si="16"/>
        <v>2049</v>
      </c>
    </row>
    <row r="202" spans="1:9" x14ac:dyDescent="0.35">
      <c r="A202" s="18">
        <v>73</v>
      </c>
      <c r="B202" s="15" t="e">
        <f>Dosen!#REF!</f>
        <v>#REF!</v>
      </c>
      <c r="C202" s="155" t="e">
        <f>VLOOKUP(B202,Dosen!$B$10:$AA$312,2,0)</f>
        <v>#REF!</v>
      </c>
      <c r="D202" s="50" t="e">
        <f>VLOOKUP(B202,Dosen!$B$10:$AA$312,10,0)</f>
        <v>#REF!</v>
      </c>
      <c r="E202" s="12" t="e">
        <f>VLOOKUP(B202,Dosen!$B$10:$AA$312,5,0)</f>
        <v>#REF!</v>
      </c>
      <c r="F202" s="152" t="e">
        <f>VLOOKUP(B202,Dosen!$B$10:$AA$312,6,0)</f>
        <v>#REF!</v>
      </c>
      <c r="G202" s="153" t="e">
        <f t="shared" si="14"/>
        <v>#REF!</v>
      </c>
      <c r="H202" s="50" t="e">
        <f t="shared" ca="1" si="15"/>
        <v>#REF!</v>
      </c>
      <c r="I202" s="18" t="e">
        <f t="shared" si="16"/>
        <v>#REF!</v>
      </c>
    </row>
    <row r="203" spans="1:9" x14ac:dyDescent="0.35">
      <c r="A203" s="18">
        <v>74</v>
      </c>
      <c r="B203" s="15" t="str">
        <f>Dosen!B239</f>
        <v>Muslimin B, S.Kom., M.Cs.</v>
      </c>
      <c r="C203" s="155" t="str">
        <f>VLOOKUP(B203,Dosen!$B$10:$AA$312,2,0)</f>
        <v>198504122019031010</v>
      </c>
      <c r="D203" s="50" t="str">
        <f>VLOOKUP(B203,Dosen!$B$10:$AA$312,10,0)</f>
        <v>Dosen</v>
      </c>
      <c r="E203" s="12" t="str">
        <f>VLOOKUP(B203,Dosen!$B$10:$AA$312,5,0)</f>
        <v>Kab. Bone</v>
      </c>
      <c r="F203" s="152">
        <f>VLOOKUP(B203,Dosen!$B$10:$AA$312,6,0)</f>
        <v>31149</v>
      </c>
      <c r="G203" s="153" t="str">
        <f t="shared" si="14"/>
        <v>1985</v>
      </c>
      <c r="H203" s="50" t="str">
        <f t="shared" ca="1" si="15"/>
        <v>39 Tahun, 5 Bulan, 26 Hari</v>
      </c>
      <c r="I203" s="18">
        <f t="shared" si="16"/>
        <v>2050</v>
      </c>
    </row>
    <row r="204" spans="1:9" x14ac:dyDescent="0.35">
      <c r="A204" s="18">
        <v>75</v>
      </c>
      <c r="B204" s="15" t="str">
        <f>Dosen!B188</f>
        <v>Dwi Agung Pramono, S.Hut., M.T.</v>
      </c>
      <c r="C204" s="155" t="str">
        <f>VLOOKUP(B204,Dosen!$B$10:$AA$312,2,0)</f>
        <v>198710042015041002</v>
      </c>
      <c r="D204" s="50" t="str">
        <f>VLOOKUP(B204,Dosen!$B$10:$AA$312,10,0)</f>
        <v>Dosen</v>
      </c>
      <c r="E204" s="12" t="str">
        <f>VLOOKUP(B204,Dosen!$B$10:$AA$312,5,0)</f>
        <v>Magetan</v>
      </c>
      <c r="F204" s="152">
        <f>VLOOKUP(B204,Dosen!$B$10:$AA$312,6,0)</f>
        <v>32054</v>
      </c>
      <c r="G204" s="153" t="str">
        <f t="shared" si="14"/>
        <v>1987</v>
      </c>
      <c r="H204" s="50" t="str">
        <f t="shared" ca="1" si="15"/>
        <v>37 Tahun, 0 Bulan, 4 Hari</v>
      </c>
      <c r="I204" s="18">
        <f t="shared" si="16"/>
        <v>2052</v>
      </c>
    </row>
    <row r="205" spans="1:9" x14ac:dyDescent="0.35">
      <c r="A205" s="18">
        <v>76</v>
      </c>
      <c r="B205" s="15" t="str">
        <f>Dosen!B225</f>
        <v>Shabri Indra Suryalfihra, S.Kom., M.T.</v>
      </c>
      <c r="C205" s="155" t="str">
        <f>VLOOKUP(B205,Dosen!$B$10:$AA$312,2,0)</f>
        <v>198706272019031016</v>
      </c>
      <c r="D205" s="50" t="str">
        <f>VLOOKUP(B205,Dosen!$B$10:$AA$312,10,0)</f>
        <v>Dosen</v>
      </c>
      <c r="E205" s="12" t="str">
        <f>VLOOKUP(B205,Dosen!$B$10:$AA$312,5,0)</f>
        <v>Watansoppeng</v>
      </c>
      <c r="F205" s="152">
        <f>VLOOKUP(B205,Dosen!$B$10:$AA$312,6,0)</f>
        <v>31955</v>
      </c>
      <c r="G205" s="153" t="str">
        <f t="shared" si="14"/>
        <v>1987</v>
      </c>
      <c r="H205" s="50" t="str">
        <f t="shared" ca="1" si="15"/>
        <v>37 Tahun, 3 Bulan, 11 Hari</v>
      </c>
      <c r="I205" s="18">
        <f t="shared" si="16"/>
        <v>2052</v>
      </c>
    </row>
    <row r="206" spans="1:9" x14ac:dyDescent="0.35">
      <c r="A206" s="18">
        <v>77</v>
      </c>
      <c r="B206" s="15" t="str">
        <f>Dosen!B240</f>
        <v>Risna Nona, S.E., M.Si.</v>
      </c>
      <c r="C206" s="155" t="str">
        <f>VLOOKUP(B206,Dosen!$B$10:$AA$312,2,0)</f>
        <v>198704042022032004</v>
      </c>
      <c r="D206" s="50" t="str">
        <f>VLOOKUP(B206,Dosen!$B$10:$AA$312,10,0)</f>
        <v>Dosen</v>
      </c>
      <c r="E206" s="12" t="str">
        <f>VLOOKUP(B206,Dosen!$B$10:$AA$312,5,0)</f>
        <v>Bontang</v>
      </c>
      <c r="F206" s="152">
        <f>VLOOKUP(B206,Dosen!$B$10:$AA$312,6,0)</f>
        <v>31871</v>
      </c>
      <c r="G206" s="153" t="str">
        <f t="shared" si="14"/>
        <v>1987</v>
      </c>
      <c r="H206" s="50" t="str">
        <f t="shared" ca="1" si="15"/>
        <v>37 Tahun, 6 Bulan, 4 Hari</v>
      </c>
      <c r="I206" s="18">
        <f t="shared" si="16"/>
        <v>2052</v>
      </c>
    </row>
    <row r="207" spans="1:9" x14ac:dyDescent="0.35">
      <c r="A207" s="18">
        <v>78</v>
      </c>
      <c r="B207" s="15" t="str">
        <f>Dosen!B75</f>
        <v>Teguh Rizali Zahroni, S.Pd., M.Sc.</v>
      </c>
      <c r="C207" s="155" t="str">
        <f>VLOOKUP(B207,Dosen!$B$10:$AA$312,2,0)</f>
        <v>198804092023211017</v>
      </c>
      <c r="D207" s="50" t="str">
        <f>VLOOKUP(B207,Dosen!$B$10:$AA$312,10,0)</f>
        <v>Dosen</v>
      </c>
      <c r="E207" s="12" t="str">
        <f>VLOOKUP(B207,Dosen!$B$10:$AA$312,5,0)</f>
        <v>Lombok Timur</v>
      </c>
      <c r="F207" s="152">
        <f>VLOOKUP(B207,Dosen!$B$10:$AA$312,6,0)</f>
        <v>32242</v>
      </c>
      <c r="G207" s="153" t="str">
        <f t="shared" si="14"/>
        <v>1988</v>
      </c>
      <c r="H207" s="50" t="str">
        <f t="shared" ca="1" si="15"/>
        <v>36 Tahun, 5 Bulan, 29 Hari</v>
      </c>
      <c r="I207" s="18">
        <f t="shared" si="16"/>
        <v>2053</v>
      </c>
    </row>
    <row r="208" spans="1:9" x14ac:dyDescent="0.35">
      <c r="A208" s="18">
        <v>79</v>
      </c>
      <c r="B208" s="15" t="str">
        <f>Dosen!B91</f>
        <v>Arini Rajab, S.Si., M.Si.</v>
      </c>
      <c r="C208" s="155" t="str">
        <f>VLOOKUP(B208,Dosen!$B$10:$AA$312,2,0)</f>
        <v>198809122014042002</v>
      </c>
      <c r="D208" s="50" t="str">
        <f>VLOOKUP(B208,Dosen!$B$10:$AA$312,10,0)</f>
        <v>Dosen</v>
      </c>
      <c r="E208" s="12" t="str">
        <f>VLOOKUP(B208,Dosen!$B$10:$AA$312,5,0)</f>
        <v>Bulukumba</v>
      </c>
      <c r="F208" s="152">
        <f>VLOOKUP(B208,Dosen!$B$10:$AA$312,6,0)</f>
        <v>32398</v>
      </c>
      <c r="G208" s="153" t="str">
        <f t="shared" si="14"/>
        <v>1988</v>
      </c>
      <c r="H208" s="50" t="str">
        <f t="shared" ca="1" si="15"/>
        <v>36 Tahun, 0 Bulan, 26 Hari</v>
      </c>
      <c r="I208" s="18">
        <f t="shared" si="16"/>
        <v>2053</v>
      </c>
    </row>
    <row r="209" spans="1:9" x14ac:dyDescent="0.35">
      <c r="A209" s="18">
        <v>80</v>
      </c>
      <c r="B209" s="15" t="str">
        <f>Dosen!B203</f>
        <v>Eny Maria, M.Cs.</v>
      </c>
      <c r="C209" s="155" t="str">
        <f>VLOOKUP(B209,Dosen!$B$10:$AA$312,2,0)</f>
        <v>198811052018032001</v>
      </c>
      <c r="D209" s="50" t="str">
        <f>VLOOKUP(B209,Dosen!$B$10:$AA$312,10,0)</f>
        <v>Dosen</v>
      </c>
      <c r="E209" s="12" t="str">
        <f>VLOOKUP(B209,Dosen!$B$10:$AA$312,5,0)</f>
        <v>Tapanuli Utara</v>
      </c>
      <c r="F209" s="152">
        <f>VLOOKUP(B209,Dosen!$B$10:$AA$312,6,0)</f>
        <v>32452</v>
      </c>
      <c r="G209" s="153" t="str">
        <f t="shared" si="14"/>
        <v>1988</v>
      </c>
      <c r="H209" s="50" t="str">
        <f t="shared" ca="1" si="15"/>
        <v>35 Tahun, 11 Bulan, 3 Hari</v>
      </c>
      <c r="I209" s="18">
        <f t="shared" si="16"/>
        <v>2053</v>
      </c>
    </row>
    <row r="210" spans="1:9" x14ac:dyDescent="0.35">
      <c r="A210" s="18">
        <v>81</v>
      </c>
      <c r="B210" s="15" t="str">
        <f>Dosen!B206</f>
        <v>Suci Ramadhani, S.Kom., M.Kom.</v>
      </c>
      <c r="C210" s="155" t="str">
        <f>VLOOKUP(B210,Dosen!$B$10:$AA$312,2,0)</f>
        <v>198804282019032013</v>
      </c>
      <c r="D210" s="50" t="str">
        <f>VLOOKUP(B210,Dosen!$B$10:$AA$312,10,0)</f>
        <v>Dosen</v>
      </c>
      <c r="E210" s="12" t="str">
        <f>VLOOKUP(B210,Dosen!$B$10:$AA$312,5,0)</f>
        <v>Medan</v>
      </c>
      <c r="F210" s="152">
        <f>VLOOKUP(B210,Dosen!$B$10:$AA$312,6,0)</f>
        <v>32261</v>
      </c>
      <c r="G210" s="153" t="str">
        <f t="shared" si="14"/>
        <v>1988</v>
      </c>
      <c r="H210" s="50" t="str">
        <f t="shared" ca="1" si="15"/>
        <v>36 Tahun, 5 Bulan, 10 Hari</v>
      </c>
      <c r="I210" s="18">
        <f t="shared" si="16"/>
        <v>2053</v>
      </c>
    </row>
    <row r="211" spans="1:9" x14ac:dyDescent="0.35">
      <c r="A211" s="18">
        <v>82</v>
      </c>
      <c r="B211" s="15" t="str">
        <f>Dosen!B226</f>
        <v>Romansah Wumu, S.Pd., M.T.</v>
      </c>
      <c r="C211" s="155" t="str">
        <f>VLOOKUP(B211,Dosen!$B$10:$AA$312,2,0)</f>
        <v>198805162019031011</v>
      </c>
      <c r="D211" s="50" t="str">
        <f>VLOOKUP(B211,Dosen!$B$10:$AA$312,10,0)</f>
        <v>Dosen</v>
      </c>
      <c r="E211" s="12" t="str">
        <f>VLOOKUP(B211,Dosen!$B$10:$AA$312,5,0)</f>
        <v>Kota Gorontalo</v>
      </c>
      <c r="F211" s="152">
        <f>VLOOKUP(B211,Dosen!$B$10:$AA$312,6,0)</f>
        <v>32279</v>
      </c>
      <c r="G211" s="153" t="str">
        <f t="shared" si="14"/>
        <v>1988</v>
      </c>
      <c r="H211" s="50" t="str">
        <f t="shared" ca="1" si="15"/>
        <v>36 Tahun, 4 Bulan, 22 Hari</v>
      </c>
      <c r="I211" s="18">
        <f t="shared" si="16"/>
        <v>2053</v>
      </c>
    </row>
    <row r="212" spans="1:9" x14ac:dyDescent="0.35">
      <c r="A212" s="18">
        <v>83</v>
      </c>
      <c r="B212" s="15" t="str">
        <f>Dosen!B26</f>
        <v>Laode Muh Asdiq Hamsin Ramadan, M.Si.</v>
      </c>
      <c r="C212" s="155" t="str">
        <f>VLOOKUP(B212,Dosen!$B$10:$AA$312,2,0)</f>
        <v>198904112022031009</v>
      </c>
      <c r="D212" s="50" t="str">
        <f>VLOOKUP(B212,Dosen!$B$10:$AA$312,10,0)</f>
        <v>Dosen</v>
      </c>
      <c r="E212" s="12" t="str">
        <f>VLOOKUP(B212,Dosen!$B$10:$AA$312,5,0)</f>
        <v>Muna</v>
      </c>
      <c r="F212" s="152">
        <f>VLOOKUP(B212,Dosen!$B$10:$AA$312,6,0)</f>
        <v>32609</v>
      </c>
      <c r="G212" s="153" t="str">
        <f t="shared" si="14"/>
        <v>1989</v>
      </c>
      <c r="H212" s="50" t="str">
        <f t="shared" ca="1" si="15"/>
        <v>35 Tahun, 5 Bulan, 27 Hari</v>
      </c>
      <c r="I212" s="18">
        <f t="shared" si="16"/>
        <v>2054</v>
      </c>
    </row>
    <row r="213" spans="1:9" x14ac:dyDescent="0.35">
      <c r="A213" s="18">
        <v>84</v>
      </c>
      <c r="B213" s="15" t="str">
        <f>Dosen!B44</f>
        <v>Nisrina Putri Hanifah, S.Hut., M.Si.</v>
      </c>
      <c r="C213" s="155" t="str">
        <f>VLOOKUP(B213,Dosen!$B$10:$AA$312,2,0)</f>
        <v>199707132024062002</v>
      </c>
      <c r="D213" s="50" t="str">
        <f>VLOOKUP(B213,Dosen!$B$10:$AA$312,10,0)</f>
        <v>Dosen</v>
      </c>
      <c r="E213" s="12" t="str">
        <f>VLOOKUP(B213,Dosen!$B$10:$AA$312,5,0)</f>
        <v>Merauke</v>
      </c>
      <c r="F213" s="152">
        <f>VLOOKUP(B213,Dosen!$B$10:$AA$312,6,0)</f>
        <v>35624</v>
      </c>
      <c r="G213" s="153" t="str">
        <f t="shared" si="14"/>
        <v>1997</v>
      </c>
      <c r="H213" s="50" t="str">
        <f t="shared" ca="1" si="15"/>
        <v>27 Tahun, 2 Bulan, 25 Hari</v>
      </c>
      <c r="I213" s="18">
        <f t="shared" si="16"/>
        <v>2062</v>
      </c>
    </row>
    <row r="214" spans="1:9" x14ac:dyDescent="0.35">
      <c r="A214" s="18">
        <v>85</v>
      </c>
      <c r="B214" s="15" t="str">
        <f>Dosen!B74</f>
        <v>Muhammad Tahrir, S.T., M.T.</v>
      </c>
      <c r="C214" s="155" t="str">
        <f>VLOOKUP(B214,Dosen!$B$10:$AA$312,2,0)</f>
        <v>198910262022031006</v>
      </c>
      <c r="D214" s="50" t="str">
        <f>VLOOKUP(B214,Dosen!$B$10:$AA$312,10,0)</f>
        <v>Dosen</v>
      </c>
      <c r="E214" s="12" t="str">
        <f>VLOOKUP(B214,Dosen!$B$10:$AA$312,5,0)</f>
        <v>Pinrang</v>
      </c>
      <c r="F214" s="152">
        <f>VLOOKUP(B214,Dosen!$B$10:$AA$312,6,0)</f>
        <v>32807</v>
      </c>
      <c r="G214" s="153" t="str">
        <f t="shared" si="14"/>
        <v>1989</v>
      </c>
      <c r="H214" s="50" t="str">
        <f t="shared" ca="1" si="15"/>
        <v>34 Tahun, 11 Bulan, 12 Hari</v>
      </c>
      <c r="I214" s="18">
        <f t="shared" si="16"/>
        <v>2054</v>
      </c>
    </row>
    <row r="215" spans="1:9" x14ac:dyDescent="0.35">
      <c r="A215" s="18">
        <v>86</v>
      </c>
      <c r="B215" s="15" t="str">
        <f>Dosen!B173</f>
        <v>La Mudi, S.P., M.P.</v>
      </c>
      <c r="C215" s="155" t="str">
        <f>VLOOKUP(B215,Dosen!$B$10:$AA$312,2,0)</f>
        <v>198901122020121003</v>
      </c>
      <c r="D215" s="50" t="str">
        <f>VLOOKUP(B215,Dosen!$B$10:$AA$312,10,0)</f>
        <v>Dosen</v>
      </c>
      <c r="E215" s="12" t="str">
        <f>VLOOKUP(B215,Dosen!$B$10:$AA$312,5,0)</f>
        <v>Buton Tengah</v>
      </c>
      <c r="F215" s="152">
        <f>VLOOKUP(B215,Dosen!$B$10:$AA$312,6,0)</f>
        <v>32520</v>
      </c>
      <c r="G215" s="153" t="str">
        <f t="shared" si="14"/>
        <v>1989</v>
      </c>
      <c r="H215" s="50" t="str">
        <f t="shared" ca="1" si="15"/>
        <v>35 Tahun, 8 Bulan, 26 Hari</v>
      </c>
      <c r="I215" s="18">
        <f t="shared" si="16"/>
        <v>2054</v>
      </c>
    </row>
    <row r="216" spans="1:9" x14ac:dyDescent="0.35">
      <c r="A216" s="18">
        <v>87</v>
      </c>
      <c r="B216" s="15" t="str">
        <f>Dosen!B204</f>
        <v>Eko Junirianto, S.Kom., M.Cs.</v>
      </c>
      <c r="C216" s="155" t="str">
        <f>VLOOKUP(B216,Dosen!$B$10:$AA$312,2,0)</f>
        <v>198906022018031001</v>
      </c>
      <c r="D216" s="50" t="str">
        <f>VLOOKUP(B216,Dosen!$B$10:$AA$312,10,0)</f>
        <v>Dosen</v>
      </c>
      <c r="E216" s="12" t="str">
        <f>VLOOKUP(B216,Dosen!$B$10:$AA$312,5,0)</f>
        <v>Tarakan</v>
      </c>
      <c r="F216" s="152">
        <f>VLOOKUP(B216,Dosen!$B$10:$AA$312,6,0)</f>
        <v>32661</v>
      </c>
      <c r="G216" s="153" t="str">
        <f t="shared" si="14"/>
        <v>1989</v>
      </c>
      <c r="H216" s="50" t="str">
        <f t="shared" ca="1" si="15"/>
        <v>35 Tahun, 4 Bulan, 6 Hari</v>
      </c>
      <c r="I216" s="18">
        <f t="shared" si="16"/>
        <v>2054</v>
      </c>
    </row>
    <row r="217" spans="1:9" x14ac:dyDescent="0.35">
      <c r="A217" s="18">
        <v>88</v>
      </c>
      <c r="B217" s="15" t="str">
        <f>Dosen!B205</f>
        <v>Reza Andrea, S.Kom., M.Kom.</v>
      </c>
      <c r="C217" s="155" t="str">
        <f>VLOOKUP(B217,Dosen!$B$10:$AA$312,2,0)</f>
        <v>198906052019031017</v>
      </c>
      <c r="D217" s="50" t="str">
        <f>VLOOKUP(B217,Dosen!$B$10:$AA$312,10,0)</f>
        <v>Dosen</v>
      </c>
      <c r="E217" s="12" t="str">
        <f>VLOOKUP(B217,Dosen!$B$10:$AA$312,5,0)</f>
        <v>Samarinda</v>
      </c>
      <c r="F217" s="152">
        <f>VLOOKUP(B217,Dosen!$B$10:$AA$312,6,0)</f>
        <v>32664</v>
      </c>
      <c r="G217" s="153" t="str">
        <f t="shared" si="14"/>
        <v>1989</v>
      </c>
      <c r="H217" s="50" t="str">
        <f t="shared" ca="1" si="15"/>
        <v>35 Tahun, 4 Bulan, 3 Hari</v>
      </c>
      <c r="I217" s="18">
        <f t="shared" si="16"/>
        <v>2054</v>
      </c>
    </row>
    <row r="218" spans="1:9" x14ac:dyDescent="0.35">
      <c r="A218" s="18">
        <v>89</v>
      </c>
      <c r="B218" s="15" t="str">
        <f>Dosen!B209</f>
        <v>Asep Nurhuda, S.Kom., M.Kom.</v>
      </c>
      <c r="C218" s="155" t="str">
        <f>VLOOKUP(B218,Dosen!$B$10:$AA$312,2,0)</f>
        <v>198902082020121003</v>
      </c>
      <c r="D218" s="50" t="str">
        <f>VLOOKUP(B218,Dosen!$B$10:$AA$312,10,0)</f>
        <v>Dosen</v>
      </c>
      <c r="E218" s="12" t="str">
        <f>VLOOKUP(B218,Dosen!$B$10:$AA$312,5,0)</f>
        <v>Kutai Kartanegara</v>
      </c>
      <c r="F218" s="152">
        <f>VLOOKUP(B218,Dosen!$B$10:$AA$312,6,0)</f>
        <v>32547</v>
      </c>
      <c r="G218" s="153" t="str">
        <f t="shared" si="14"/>
        <v>1989</v>
      </c>
      <c r="H218" s="50" t="str">
        <f t="shared" ca="1" si="15"/>
        <v>35 Tahun, 8 Bulan, 0 Hari</v>
      </c>
      <c r="I218" s="18">
        <f t="shared" si="16"/>
        <v>2054</v>
      </c>
    </row>
    <row r="219" spans="1:9" x14ac:dyDescent="0.35">
      <c r="A219" s="18">
        <v>90</v>
      </c>
      <c r="B219" s="15" t="str">
        <f>Dosen!B237</f>
        <v>Wike Pratiwi, S.E., M.Akun.</v>
      </c>
      <c r="C219" s="155" t="str">
        <f>VLOOKUP(B219,Dosen!$B$10:$AA$312,2,0)</f>
        <v>198908072022032007</v>
      </c>
      <c r="D219" s="50" t="str">
        <f>VLOOKUP(B219,Dosen!$B$10:$AA$312,10,0)</f>
        <v>Dosen</v>
      </c>
      <c r="E219" s="12" t="str">
        <f>VLOOKUP(B219,Dosen!$B$10:$AA$312,5,0)</f>
        <v>Jember</v>
      </c>
      <c r="F219" s="152">
        <f>VLOOKUP(B219,Dosen!$B$10:$AA$312,6,0)</f>
        <v>32727</v>
      </c>
      <c r="G219" s="153" t="str">
        <f t="shared" si="14"/>
        <v>1989</v>
      </c>
      <c r="H219" s="50" t="str">
        <f t="shared" ca="1" si="15"/>
        <v>35 Tahun, 2 Bulan, 1 Hari</v>
      </c>
      <c r="I219" s="18">
        <f t="shared" si="16"/>
        <v>2054</v>
      </c>
    </row>
    <row r="220" spans="1:9" x14ac:dyDescent="0.35">
      <c r="A220" s="18">
        <v>91</v>
      </c>
      <c r="B220" s="15" t="str">
        <f>Dosen!B159</f>
        <v>Pandhu Rochman Suosa Putra, S.T.P., M.Sc.</v>
      </c>
      <c r="C220" s="155" t="str">
        <f>VLOOKUP(B220,Dosen!$B$10:$AA$312,2,0)</f>
        <v>199004292022031003</v>
      </c>
      <c r="D220" s="50" t="str">
        <f>VLOOKUP(B220,Dosen!$B$10:$AA$312,10,0)</f>
        <v>Dosen</v>
      </c>
      <c r="E220" s="12" t="str">
        <f>VLOOKUP(B220,Dosen!$B$10:$AA$312,5,0)</f>
        <v>Tuban</v>
      </c>
      <c r="F220" s="152">
        <f>VLOOKUP(B220,Dosen!$B$10:$AA$312,6,0)</f>
        <v>32992</v>
      </c>
      <c r="G220" s="153" t="str">
        <f t="shared" si="14"/>
        <v>1990</v>
      </c>
      <c r="H220" s="50" t="str">
        <f t="shared" ca="1" si="15"/>
        <v>34 Tahun, 5 Bulan, 9 Hari</v>
      </c>
      <c r="I220" s="18">
        <f t="shared" si="16"/>
        <v>2055</v>
      </c>
    </row>
    <row r="221" spans="1:9" x14ac:dyDescent="0.35">
      <c r="A221" s="18">
        <v>92</v>
      </c>
      <c r="B221" s="15" t="str">
        <f>Dosen!B220</f>
        <v>Radik Khairil Insanu, S.T., M.T.</v>
      </c>
      <c r="C221" s="155" t="str">
        <f>VLOOKUP(B221,Dosen!$B$10:$AA$312,2,0)</f>
        <v>199010122014041002</v>
      </c>
      <c r="D221" s="50" t="str">
        <f>VLOOKUP(B221,Dosen!$B$10:$AA$312,10,0)</f>
        <v>Dosen</v>
      </c>
      <c r="E221" s="12" t="str">
        <f>VLOOKUP(B221,Dosen!$B$10:$AA$312,5,0)</f>
        <v>Jombang</v>
      </c>
      <c r="F221" s="152">
        <f>VLOOKUP(B221,Dosen!$B$10:$AA$312,6,0)</f>
        <v>33158</v>
      </c>
      <c r="G221" s="153" t="str">
        <f t="shared" si="14"/>
        <v>1990</v>
      </c>
      <c r="H221" s="50" t="str">
        <f t="shared" ca="1" si="15"/>
        <v>33 Tahun, 11 Bulan, 26 Hari</v>
      </c>
      <c r="I221" s="18">
        <f t="shared" si="16"/>
        <v>2055</v>
      </c>
    </row>
    <row r="222" spans="1:9" x14ac:dyDescent="0.35">
      <c r="A222" s="18">
        <v>93</v>
      </c>
      <c r="B222" s="15" t="str">
        <f>Dosen!B221</f>
        <v>Dawamul Arifin, S.T., M.T.</v>
      </c>
      <c r="C222" s="155" t="str">
        <f>VLOOKUP(B222,Dosen!$B$10:$AA$312,2,0)</f>
        <v>199011182014041001</v>
      </c>
      <c r="D222" s="50" t="str">
        <f>VLOOKUP(B222,Dosen!$B$10:$AA$312,10,0)</f>
        <v>Dosen</v>
      </c>
      <c r="E222" s="12" t="str">
        <f>VLOOKUP(B222,Dosen!$B$10:$AA$312,5,0)</f>
        <v>Lamongan</v>
      </c>
      <c r="F222" s="152">
        <f>VLOOKUP(B222,Dosen!$B$10:$AA$312,6,0)</f>
        <v>33195</v>
      </c>
      <c r="G222" s="153" t="str">
        <f t="shared" si="14"/>
        <v>1990</v>
      </c>
      <c r="H222" s="50" t="str">
        <f t="shared" ca="1" si="15"/>
        <v>33 Tahun, 10 Bulan, 20 Hari</v>
      </c>
      <c r="I222" s="18">
        <f t="shared" si="16"/>
        <v>2055</v>
      </c>
    </row>
    <row r="223" spans="1:9" x14ac:dyDescent="0.35">
      <c r="A223" s="18">
        <v>94</v>
      </c>
      <c r="B223" s="15" t="str">
        <f>Dosen!B222</f>
        <v>F.V. Astrolabe Sian Prasetya, S.T., M.T.</v>
      </c>
      <c r="C223" s="155" t="str">
        <f>VLOOKUP(B223,Dosen!$B$10:$AA$312,2,0)</f>
        <v>199001222015041001</v>
      </c>
      <c r="D223" s="50" t="str">
        <f>VLOOKUP(B223,Dosen!$B$10:$AA$312,10,0)</f>
        <v>Dosen</v>
      </c>
      <c r="E223" s="12" t="str">
        <f>VLOOKUP(B223,Dosen!$B$10:$AA$312,5,0)</f>
        <v>Probolinggo</v>
      </c>
      <c r="F223" s="152">
        <f>VLOOKUP(B223,Dosen!$B$10:$AA$312,6,0)</f>
        <v>32895</v>
      </c>
      <c r="G223" s="153" t="str">
        <f t="shared" si="14"/>
        <v>1990</v>
      </c>
      <c r="H223" s="50" t="str">
        <f t="shared" ca="1" si="15"/>
        <v>34 Tahun, 8 Bulan, 16 Hari</v>
      </c>
      <c r="I223" s="18">
        <f t="shared" si="16"/>
        <v>2055</v>
      </c>
    </row>
    <row r="224" spans="1:9" x14ac:dyDescent="0.35">
      <c r="A224" s="18">
        <v>95</v>
      </c>
      <c r="B224" s="15" t="str">
        <f>Dosen!B161</f>
        <v>Andi Lelanovita Sardianti, S.P., M.M.</v>
      </c>
      <c r="C224" s="155" t="str">
        <f>VLOOKUP(B224,Dosen!$B$10:$AA$312,2,0)</f>
        <v>199111212022032010</v>
      </c>
      <c r="D224" s="50" t="str">
        <f>VLOOKUP(B224,Dosen!$B$10:$AA$312,10,0)</f>
        <v>Dosen</v>
      </c>
      <c r="E224" s="12" t="str">
        <f>VLOOKUP(B224,Dosen!$B$10:$AA$312,5,0)</f>
        <v>Bone</v>
      </c>
      <c r="F224" s="152">
        <f>VLOOKUP(B224,Dosen!$B$10:$AA$312,6,0)</f>
        <v>33563</v>
      </c>
      <c r="G224" s="153" t="str">
        <f t="shared" si="14"/>
        <v>1991</v>
      </c>
      <c r="H224" s="50" t="str">
        <f t="shared" ca="1" si="15"/>
        <v>32 Tahun, 10 Bulan, 17 Hari</v>
      </c>
      <c r="I224" s="18">
        <f t="shared" si="16"/>
        <v>2056</v>
      </c>
    </row>
    <row r="225" spans="1:9" x14ac:dyDescent="0.35">
      <c r="A225" s="18">
        <v>96</v>
      </c>
      <c r="B225" s="15" t="str">
        <f>Dosen!B207</f>
        <v>Annafi' Franz, S.Kom., M.Kom.</v>
      </c>
      <c r="C225" s="155" t="str">
        <f>VLOOKUP(B225,Dosen!$B$10:$AA$312,2,0)</f>
        <v>199106022019031016</v>
      </c>
      <c r="D225" s="50" t="str">
        <f>VLOOKUP(B225,Dosen!$B$10:$AA$312,10,0)</f>
        <v>Dosen</v>
      </c>
      <c r="E225" s="12" t="str">
        <f>VLOOKUP(B225,Dosen!$B$10:$AA$312,5,0)</f>
        <v>Kutai Kartanegara</v>
      </c>
      <c r="F225" s="152">
        <f>VLOOKUP(B225,Dosen!$B$10:$AA$312,6,0)</f>
        <v>33391</v>
      </c>
      <c r="G225" s="153" t="str">
        <f t="shared" si="14"/>
        <v>1991</v>
      </c>
      <c r="H225" s="50" t="str">
        <f t="shared" ca="1" si="15"/>
        <v>33 Tahun, 4 Bulan, 6 Hari</v>
      </c>
      <c r="I225" s="18">
        <f t="shared" si="16"/>
        <v>2056</v>
      </c>
    </row>
    <row r="226" spans="1:9" x14ac:dyDescent="0.35">
      <c r="A226" s="18">
        <v>97</v>
      </c>
      <c r="B226" s="15" t="str">
        <f>Dosen!B208</f>
        <v>Ida Maratul Khamidah, S.Kom., M.Cs.</v>
      </c>
      <c r="C226" s="155" t="str">
        <f>VLOOKUP(B226,Dosen!$B$10:$AA$312,2,0)</f>
        <v>199101132019032023</v>
      </c>
      <c r="D226" s="50" t="str">
        <f>VLOOKUP(B226,Dosen!$B$10:$AA$312,10,0)</f>
        <v>Dosen</v>
      </c>
      <c r="E226" s="12" t="str">
        <f>VLOOKUP(B226,Dosen!$B$10:$AA$312,5,0)</f>
        <v>Kab. Cirebon</v>
      </c>
      <c r="F226" s="152">
        <f>VLOOKUP(B226,Dosen!$B$10:$AA$312,6,0)</f>
        <v>33251</v>
      </c>
      <c r="G226" s="153" t="str">
        <f t="shared" ref="G226:G245" si="17">MID(C226,1,4)</f>
        <v>1991</v>
      </c>
      <c r="H226" s="50" t="str">
        <f t="shared" ref="H226:H245" ca="1" si="18">DATEDIF(F226,$A$5,"Y") &amp;" Tahun, "&amp;DATEDIF(F226,$A$5,"YM") &amp;" Bulan, "&amp;DATEDIF(F226,$A$5,"MD") &amp;" Hari"</f>
        <v>33 Tahun, 8 Bulan, 25 Hari</v>
      </c>
      <c r="I226" s="18">
        <f t="shared" ref="I226:I245" si="19">IF(D226="Dosen",G226+65,G226+5)</f>
        <v>2056</v>
      </c>
    </row>
    <row r="227" spans="1:9" x14ac:dyDescent="0.35">
      <c r="A227" s="18">
        <v>98</v>
      </c>
      <c r="B227" s="15" t="str">
        <f>Dosen!B210</f>
        <v>Bagus Satria, S.Kom., M.Kom.</v>
      </c>
      <c r="C227" s="155" t="str">
        <f>VLOOKUP(B227,Dosen!$B$10:$AA$312,2,0)</f>
        <v>199111042022031003</v>
      </c>
      <c r="D227" s="50" t="str">
        <f>VLOOKUP(B227,Dosen!$B$10:$AA$312,10,0)</f>
        <v>Dosen</v>
      </c>
      <c r="E227" s="12" t="str">
        <f>VLOOKUP(B227,Dosen!$B$10:$AA$312,5,0)</f>
        <v>Samarinda</v>
      </c>
      <c r="F227" s="152">
        <f>VLOOKUP(B227,Dosen!$B$10:$AA$312,6,0)</f>
        <v>33546</v>
      </c>
      <c r="G227" s="153" t="str">
        <f t="shared" si="17"/>
        <v>1991</v>
      </c>
      <c r="H227" s="50" t="str">
        <f t="shared" ca="1" si="18"/>
        <v>32 Tahun, 11 Bulan, 4 Hari</v>
      </c>
      <c r="I227" s="18">
        <f t="shared" si="19"/>
        <v>2056</v>
      </c>
    </row>
    <row r="228" spans="1:9" x14ac:dyDescent="0.35">
      <c r="A228" s="18">
        <v>99</v>
      </c>
      <c r="B228" s="15" t="str">
        <f>Dosen!B224</f>
        <v>Feri Fadlin, M.Sc.</v>
      </c>
      <c r="C228" s="155" t="str">
        <f>VLOOKUP(B228,Dosen!$B$10:$AA$312,2,0)</f>
        <v>199104192018031001</v>
      </c>
      <c r="D228" s="50" t="str">
        <f>VLOOKUP(B228,Dosen!$B$10:$AA$312,10,0)</f>
        <v>Dosen</v>
      </c>
      <c r="E228" s="12" t="str">
        <f>VLOOKUP(B228,Dosen!$B$10:$AA$312,5,0)</f>
        <v>Kendari</v>
      </c>
      <c r="F228" s="152">
        <f>VLOOKUP(B228,Dosen!$B$10:$AA$312,6,0)</f>
        <v>33347</v>
      </c>
      <c r="G228" s="153" t="str">
        <f t="shared" si="17"/>
        <v>1991</v>
      </c>
      <c r="H228" s="50" t="str">
        <f t="shared" ca="1" si="18"/>
        <v>33 Tahun, 5 Bulan, 19 Hari</v>
      </c>
      <c r="I228" s="18">
        <f t="shared" si="19"/>
        <v>2056</v>
      </c>
    </row>
    <row r="229" spans="1:9" x14ac:dyDescent="0.35">
      <c r="A229" s="18">
        <v>100</v>
      </c>
      <c r="B229" s="15" t="str">
        <f>Dosen!B25</f>
        <v>Adelia Juli Kardika, S.Hut., M.Si.</v>
      </c>
      <c r="C229" s="155" t="str">
        <f>VLOOKUP(B229,Dosen!$B$10:$AA$312,2,0)</f>
        <v>199207142019032023</v>
      </c>
      <c r="D229" s="50" t="str">
        <f>VLOOKUP(B229,Dosen!$B$10:$AA$312,10,0)</f>
        <v>Dosen</v>
      </c>
      <c r="E229" s="12" t="str">
        <f>VLOOKUP(B229,Dosen!$B$10:$AA$312,5,0)</f>
        <v>Sindenreng Rappang</v>
      </c>
      <c r="F229" s="152">
        <f>VLOOKUP(B229,Dosen!$B$10:$AA$312,6,0)</f>
        <v>33799</v>
      </c>
      <c r="G229" s="153" t="str">
        <f t="shared" si="17"/>
        <v>1992</v>
      </c>
      <c r="H229" s="50" t="str">
        <f t="shared" ca="1" si="18"/>
        <v>32 Tahun, 2 Bulan, 24 Hari</v>
      </c>
      <c r="I229" s="18">
        <f t="shared" si="19"/>
        <v>2057</v>
      </c>
    </row>
    <row r="230" spans="1:9" x14ac:dyDescent="0.35">
      <c r="A230" s="18">
        <v>101</v>
      </c>
      <c r="B230" s="15" t="str">
        <f>Dosen!B76</f>
        <v>Zahrotul Isti'Anah Marroh, M.Pd.</v>
      </c>
      <c r="C230" s="155" t="str">
        <f>VLOOKUP(B230,Dosen!$B$10:$AA$312,2,0)</f>
        <v>199207052023212053</v>
      </c>
      <c r="D230" s="50" t="str">
        <f>VLOOKUP(B230,Dosen!$B$10:$AA$312,10,0)</f>
        <v>Dosen</v>
      </c>
      <c r="E230" s="12" t="str">
        <f>VLOOKUP(B230,Dosen!$B$10:$AA$312,5,0)</f>
        <v>Kutai Kartanegara</v>
      </c>
      <c r="F230" s="152">
        <f>VLOOKUP(B230,Dosen!$B$10:$AA$312,6,0)</f>
        <v>33790</v>
      </c>
      <c r="G230" s="153" t="str">
        <f t="shared" si="17"/>
        <v>1992</v>
      </c>
      <c r="H230" s="50" t="str">
        <f t="shared" ca="1" si="18"/>
        <v>32 Tahun, 3 Bulan, 3 Hari</v>
      </c>
      <c r="I230" s="18">
        <f t="shared" si="19"/>
        <v>2057</v>
      </c>
    </row>
    <row r="231" spans="1:9" x14ac:dyDescent="0.35">
      <c r="A231" s="18">
        <v>102</v>
      </c>
      <c r="B231" s="15" t="str">
        <f>Dosen!B111</f>
        <v>Adnan Putra Pratama, S.P., M.Sc.</v>
      </c>
      <c r="C231" s="155" t="str">
        <f>VLOOKUP(B231,Dosen!$B$10:$AA$312,2,0)</f>
        <v>199210202022031007</v>
      </c>
      <c r="D231" s="50" t="str">
        <f>VLOOKUP(B231,Dosen!$B$10:$AA$312,10,0)</f>
        <v>Dosen</v>
      </c>
      <c r="E231" s="12" t="str">
        <f>VLOOKUP(B231,Dosen!$B$10:$AA$312,5,0)</f>
        <v>Tolitoli</v>
      </c>
      <c r="F231" s="152">
        <f>VLOOKUP(B231,Dosen!$B$10:$AA$312,6,0)</f>
        <v>33897</v>
      </c>
      <c r="G231" s="153" t="str">
        <f t="shared" si="17"/>
        <v>1992</v>
      </c>
      <c r="H231" s="50" t="str">
        <f t="shared" ca="1" si="18"/>
        <v>31 Tahun, 11 Bulan, 18 Hari</v>
      </c>
      <c r="I231" s="18">
        <f t="shared" si="19"/>
        <v>2057</v>
      </c>
    </row>
    <row r="232" spans="1:9" x14ac:dyDescent="0.35">
      <c r="A232" s="18">
        <v>103</v>
      </c>
      <c r="B232" s="15" t="str">
        <f>Dosen!B158</f>
        <v>Arief Rahman, S.P., M.Sc.</v>
      </c>
      <c r="C232" s="155" t="str">
        <f>VLOOKUP(B232,Dosen!$B$10:$AA$312,2,0)</f>
        <v>199212212019031014</v>
      </c>
      <c r="D232" s="50" t="str">
        <f>VLOOKUP(B232,Dosen!$B$10:$AA$312,10,0)</f>
        <v>Dosen</v>
      </c>
      <c r="E232" s="12" t="str">
        <f>VLOOKUP(B232,Dosen!$B$10:$AA$312,5,0)</f>
        <v>Palangka Raya</v>
      </c>
      <c r="F232" s="152">
        <f>VLOOKUP(B232,Dosen!$B$10:$AA$312,6,0)</f>
        <v>33959</v>
      </c>
      <c r="G232" s="153" t="str">
        <f t="shared" si="17"/>
        <v>1992</v>
      </c>
      <c r="H232" s="50" t="str">
        <f t="shared" ca="1" si="18"/>
        <v>31 Tahun, 9 Bulan, 17 Hari</v>
      </c>
      <c r="I232" s="18">
        <f t="shared" si="19"/>
        <v>2057</v>
      </c>
    </row>
    <row r="233" spans="1:9" x14ac:dyDescent="0.35">
      <c r="A233" s="18">
        <v>104</v>
      </c>
      <c r="B233" s="15" t="str">
        <f>Dosen!B189</f>
        <v>A Arifin Itsnani S M, S.Si., M.T.</v>
      </c>
      <c r="C233" s="155" t="str">
        <f>VLOOKUP(B233,Dosen!$B$10:$AA$312,2,0)</f>
        <v>199201042019031016</v>
      </c>
      <c r="D233" s="50" t="str">
        <f>VLOOKUP(B233,Dosen!$B$10:$AA$312,10,0)</f>
        <v>Dosen</v>
      </c>
      <c r="E233" s="12" t="str">
        <f>VLOOKUP(B233,Dosen!$B$10:$AA$312,5,0)</f>
        <v>Kab. Jeneponto</v>
      </c>
      <c r="F233" s="152">
        <f>VLOOKUP(B233,Dosen!$B$10:$AA$312,6,0)</f>
        <v>33607</v>
      </c>
      <c r="G233" s="153" t="str">
        <f t="shared" si="17"/>
        <v>1992</v>
      </c>
      <c r="H233" s="50" t="str">
        <f t="shared" ca="1" si="18"/>
        <v>32 Tahun, 9 Bulan, 4 Hari</v>
      </c>
      <c r="I233" s="18">
        <f t="shared" si="19"/>
        <v>2057</v>
      </c>
    </row>
    <row r="234" spans="1:9" x14ac:dyDescent="0.35">
      <c r="A234" s="18">
        <v>105</v>
      </c>
      <c r="B234" s="15" t="str">
        <f>Dosen!B211</f>
        <v>Imron, S.Pd., M.Eng.</v>
      </c>
      <c r="C234" s="155" t="str">
        <f>VLOOKUP(B234,Dosen!$B$10:$AA$312,2,0)</f>
        <v>199210102022031014</v>
      </c>
      <c r="D234" s="50" t="str">
        <f>VLOOKUP(B234,Dosen!$B$10:$AA$312,10,0)</f>
        <v>Dosen</v>
      </c>
      <c r="E234" s="12" t="str">
        <f>VLOOKUP(B234,Dosen!$B$10:$AA$312,5,0)</f>
        <v>Samarinda</v>
      </c>
      <c r="F234" s="152">
        <f>VLOOKUP(B234,Dosen!$B$10:$AA$312,6,0)</f>
        <v>33887</v>
      </c>
      <c r="G234" s="153" t="str">
        <f t="shared" si="17"/>
        <v>1992</v>
      </c>
      <c r="H234" s="50" t="str">
        <f t="shared" ca="1" si="18"/>
        <v>31 Tahun, 11 Bulan, 28 Hari</v>
      </c>
      <c r="I234" s="18">
        <f t="shared" si="19"/>
        <v>2057</v>
      </c>
    </row>
    <row r="235" spans="1:9" x14ac:dyDescent="0.35">
      <c r="A235" s="18">
        <v>106</v>
      </c>
      <c r="B235" s="15" t="str">
        <f>Dosen!B235</f>
        <v>Emil Riza Putra, S.Kom., S.E., M.Kom.</v>
      </c>
      <c r="C235" s="155" t="str">
        <f>VLOOKUP(B235,Dosen!$B$10:$AA$312,2,0)</f>
        <v>199208192019031014</v>
      </c>
      <c r="D235" s="50" t="str">
        <f>VLOOKUP(B235,Dosen!$B$10:$AA$312,10,0)</f>
        <v>Dosen</v>
      </c>
      <c r="E235" s="12" t="str">
        <f>VLOOKUP(B235,Dosen!$B$10:$AA$312,5,0)</f>
        <v>Kutai Kartanegara</v>
      </c>
      <c r="F235" s="152">
        <f>VLOOKUP(B235,Dosen!$B$10:$AA$312,6,0)</f>
        <v>33835</v>
      </c>
      <c r="G235" s="153" t="str">
        <f t="shared" si="17"/>
        <v>1992</v>
      </c>
      <c r="H235" s="50" t="str">
        <f t="shared" ca="1" si="18"/>
        <v>32 Tahun, 1 Bulan, 19 Hari</v>
      </c>
      <c r="I235" s="18">
        <f t="shared" si="19"/>
        <v>2057</v>
      </c>
    </row>
    <row r="236" spans="1:9" x14ac:dyDescent="0.35">
      <c r="A236" s="18">
        <v>107</v>
      </c>
      <c r="B236" s="15" t="str">
        <f>Dosen!B238</f>
        <v>Syafei Karim, S.Kom., M.Kom.</v>
      </c>
      <c r="C236" s="155" t="str">
        <f>VLOOKUP(B236,Dosen!$B$10:$AA$312,2,0)</f>
        <v>199212072019031010</v>
      </c>
      <c r="D236" s="50" t="str">
        <f>VLOOKUP(B236,Dosen!$B$10:$AA$312,10,0)</f>
        <v>Dosen</v>
      </c>
      <c r="E236" s="12" t="str">
        <f>VLOOKUP(B236,Dosen!$B$10:$AA$312,5,0)</f>
        <v>Samarinda</v>
      </c>
      <c r="F236" s="152">
        <f>VLOOKUP(B236,Dosen!$B$10:$AA$312,6,0)</f>
        <v>33945</v>
      </c>
      <c r="G236" s="153" t="str">
        <f t="shared" si="17"/>
        <v>1992</v>
      </c>
      <c r="H236" s="50" t="str">
        <f t="shared" ca="1" si="18"/>
        <v>31 Tahun, 10 Bulan, 1 Hari</v>
      </c>
      <c r="I236" s="18">
        <f t="shared" si="19"/>
        <v>2057</v>
      </c>
    </row>
    <row r="237" spans="1:9" x14ac:dyDescent="0.35">
      <c r="A237" s="18">
        <v>108</v>
      </c>
      <c r="B237" s="15" t="str">
        <f>Dosen!B27</f>
        <v>Kiamah Fathirizki Agsa Kamarati, S.Hut., M.Hut.</v>
      </c>
      <c r="C237" s="155" t="str">
        <f>VLOOKUP(B237,Dosen!$B$10:$AA$312,2,0)</f>
        <v>199310082022032011</v>
      </c>
      <c r="D237" s="50" t="str">
        <f>VLOOKUP(B237,Dosen!$B$10:$AA$312,10,0)</f>
        <v>Dosen</v>
      </c>
      <c r="E237" s="12" t="str">
        <f>VLOOKUP(B237,Dosen!$B$10:$AA$312,5,0)</f>
        <v>Samarinda</v>
      </c>
      <c r="F237" s="152">
        <f>VLOOKUP(B237,Dosen!$B$10:$AA$312,6,0)</f>
        <v>34250</v>
      </c>
      <c r="G237" s="153" t="str">
        <f t="shared" si="17"/>
        <v>1993</v>
      </c>
      <c r="H237" s="50" t="str">
        <f t="shared" ca="1" si="18"/>
        <v>31 Tahun, 0 Bulan, 0 Hari</v>
      </c>
      <c r="I237" s="18">
        <f t="shared" si="19"/>
        <v>2058</v>
      </c>
    </row>
    <row r="238" spans="1:9" x14ac:dyDescent="0.35">
      <c r="A238" s="18">
        <v>109</v>
      </c>
      <c r="B238" s="15" t="str">
        <f>Dosen!B93</f>
        <v>Christine Elia Benedicta, S.Hut., M.Ling.</v>
      </c>
      <c r="C238" s="155" t="str">
        <f>VLOOKUP(B238,Dosen!$B$10:$AA$312,2,0)</f>
        <v>199312252024212001</v>
      </c>
      <c r="D238" s="50" t="str">
        <f>VLOOKUP(B238,Dosen!$B$10:$AA$312,10,0)</f>
        <v>Dosen</v>
      </c>
      <c r="E238" s="12" t="str">
        <f>VLOOKUP(B238,Dosen!$B$10:$AA$312,5,0)</f>
        <v>Samarinda</v>
      </c>
      <c r="F238" s="152">
        <f>VLOOKUP(B238,Dosen!$B$10:$AA$312,6,0)</f>
        <v>34328</v>
      </c>
      <c r="G238" s="153" t="str">
        <f t="shared" si="17"/>
        <v>1993</v>
      </c>
      <c r="H238" s="50" t="str">
        <f t="shared" ca="1" si="18"/>
        <v>30 Tahun, 9 Bulan, 13 Hari</v>
      </c>
      <c r="I238" s="18">
        <f t="shared" si="19"/>
        <v>2058</v>
      </c>
    </row>
    <row r="239" spans="1:9" x14ac:dyDescent="0.35">
      <c r="A239" s="18">
        <v>110</v>
      </c>
      <c r="B239" s="15" t="str">
        <f>Dosen!B110</f>
        <v>Mika Debora Br Barus, S.Pd., M.Si.</v>
      </c>
      <c r="C239" s="155" t="str">
        <f>VLOOKUP(B239,Dosen!$B$10:$AA$312,2,0)</f>
        <v>199312312022032009</v>
      </c>
      <c r="D239" s="50" t="str">
        <f>VLOOKUP(B239,Dosen!$B$10:$AA$312,10,0)</f>
        <v>Dosen</v>
      </c>
      <c r="E239" s="12" t="str">
        <f>VLOOKUP(B239,Dosen!$B$10:$AA$312,5,0)</f>
        <v>Medan</v>
      </c>
      <c r="F239" s="152">
        <f>VLOOKUP(B239,Dosen!$B$10:$AA$312,6,0)</f>
        <v>34334</v>
      </c>
      <c r="G239" s="153" t="str">
        <f t="shared" si="17"/>
        <v>1993</v>
      </c>
      <c r="H239" s="50" t="str">
        <f t="shared" ca="1" si="18"/>
        <v>30 Tahun, 9 Bulan, 7 Hari</v>
      </c>
      <c r="I239" s="18">
        <f t="shared" si="19"/>
        <v>2058</v>
      </c>
    </row>
    <row r="240" spans="1:9" x14ac:dyDescent="0.35">
      <c r="A240" s="18">
        <v>111</v>
      </c>
      <c r="B240" s="15" t="str">
        <f>Dosen!B160</f>
        <v>Muhamad Yazid Bustomi, S.P., M.Sc.</v>
      </c>
      <c r="C240" s="155" t="str">
        <f>VLOOKUP(B240,Dosen!$B$10:$AA$312,2,0)</f>
        <v>199301012022031011</v>
      </c>
      <c r="D240" s="50" t="str">
        <f>VLOOKUP(B240,Dosen!$B$10:$AA$312,10,0)</f>
        <v>Dosen</v>
      </c>
      <c r="E240" s="12" t="str">
        <f>VLOOKUP(B240,Dosen!$B$10:$AA$312,5,0)</f>
        <v>Samarinda</v>
      </c>
      <c r="F240" s="152">
        <f>VLOOKUP(B240,Dosen!$B$10:$AA$312,6,0)</f>
        <v>33970</v>
      </c>
      <c r="G240" s="153" t="str">
        <f t="shared" si="17"/>
        <v>1993</v>
      </c>
      <c r="H240" s="50" t="str">
        <f t="shared" ca="1" si="18"/>
        <v>31 Tahun, 9 Bulan, 7 Hari</v>
      </c>
      <c r="I240" s="18">
        <f t="shared" si="19"/>
        <v>2058</v>
      </c>
    </row>
    <row r="241" spans="1:9" x14ac:dyDescent="0.35">
      <c r="A241" s="18">
        <v>112</v>
      </c>
      <c r="B241" s="15" t="str">
        <f>Dosen!B190</f>
        <v>Andi Baso Sofyan A. Pabolloi, S.Pd., M.Sc.</v>
      </c>
      <c r="C241" s="155" t="str">
        <f>VLOOKUP(B241,Dosen!$B$10:$AA$312,2,0)</f>
        <v>199311012022031009</v>
      </c>
      <c r="D241" s="50" t="str">
        <f>VLOOKUP(B241,Dosen!$B$10:$AA$312,10,0)</f>
        <v>Dosen</v>
      </c>
      <c r="E241" s="12" t="str">
        <f>VLOOKUP(B241,Dosen!$B$10:$AA$312,5,0)</f>
        <v>Kendari</v>
      </c>
      <c r="F241" s="152">
        <f>VLOOKUP(B241,Dosen!$B$10:$AA$312,6,0)</f>
        <v>34274</v>
      </c>
      <c r="G241" s="153" t="str">
        <f t="shared" si="17"/>
        <v>1993</v>
      </c>
      <c r="H241" s="50" t="str">
        <f t="shared" ca="1" si="18"/>
        <v>30 Tahun, 11 Bulan, 7 Hari</v>
      </c>
      <c r="I241" s="18">
        <f t="shared" si="19"/>
        <v>2058</v>
      </c>
    </row>
    <row r="242" spans="1:9" x14ac:dyDescent="0.35">
      <c r="A242" s="18">
        <v>113</v>
      </c>
      <c r="B242" s="15" t="str">
        <f>Dosen!B236</f>
        <v>Fajar Ramadhani, S.Kom., M.Kom.</v>
      </c>
      <c r="C242" s="155" t="str">
        <f>VLOOKUP(B242,Dosen!$B$10:$AA$312,2,0)</f>
        <v>199303032022031009</v>
      </c>
      <c r="D242" s="50" t="str">
        <f>VLOOKUP(B242,Dosen!$B$10:$AA$312,10,0)</f>
        <v>Dosen</v>
      </c>
      <c r="E242" s="12" t="str">
        <f>VLOOKUP(B242,Dosen!$B$10:$AA$312,5,0)</f>
        <v>Samarinda</v>
      </c>
      <c r="F242" s="152">
        <f>VLOOKUP(B242,Dosen!$B$10:$AA$312,6,0)</f>
        <v>34031</v>
      </c>
      <c r="G242" s="153" t="str">
        <f t="shared" si="17"/>
        <v>1993</v>
      </c>
      <c r="H242" s="50" t="str">
        <f t="shared" ca="1" si="18"/>
        <v>31 Tahun, 7 Bulan, 5 Hari</v>
      </c>
      <c r="I242" s="18">
        <f t="shared" si="19"/>
        <v>2058</v>
      </c>
    </row>
    <row r="243" spans="1:9" x14ac:dyDescent="0.35">
      <c r="A243" s="18">
        <v>114</v>
      </c>
      <c r="B243" s="15" t="str">
        <f>Dosen!B55</f>
        <v>Wardatul Hidayah, S.Si., M.Si.</v>
      </c>
      <c r="C243" s="155" t="str">
        <f>VLOOKUP(B243,Dosen!$B$10:$AA$312,2,0)</f>
        <v>199410312022032015</v>
      </c>
      <c r="D243" s="50" t="str">
        <f>VLOOKUP(B243,Dosen!$B$10:$AA$312,10,0)</f>
        <v>Dosen</v>
      </c>
      <c r="E243" s="12" t="str">
        <f>VLOOKUP(B243,Dosen!$B$10:$AA$312,5,0)</f>
        <v>Bengkalis</v>
      </c>
      <c r="F243" s="152">
        <f>VLOOKUP(B243,Dosen!$B$10:$AA$312,6,0)</f>
        <v>34638</v>
      </c>
      <c r="G243" s="153" t="str">
        <f t="shared" si="17"/>
        <v>1994</v>
      </c>
      <c r="H243" s="50" t="str">
        <f t="shared" ca="1" si="18"/>
        <v>29 Tahun, 11 Bulan, 7 Hari</v>
      </c>
      <c r="I243" s="18">
        <f t="shared" si="19"/>
        <v>2059</v>
      </c>
    </row>
    <row r="244" spans="1:9" x14ac:dyDescent="0.35">
      <c r="A244" s="18">
        <v>115</v>
      </c>
      <c r="B244" s="15" t="str">
        <f>Dosen!B56</f>
        <v>Diepa Febriana Wulandari, S.Pd., M.Sc.</v>
      </c>
      <c r="C244" s="155" t="str">
        <f>VLOOKUP(B244,Dosen!$B$10:$AA$312,2,0)</f>
        <v>199402192022032024</v>
      </c>
      <c r="D244" s="50" t="str">
        <f>VLOOKUP(B244,Dosen!$B$10:$AA$312,10,0)</f>
        <v>Dosen</v>
      </c>
      <c r="E244" s="12" t="str">
        <f>VLOOKUP(B244,Dosen!$B$10:$AA$312,5,0)</f>
        <v>Palangkaraya</v>
      </c>
      <c r="F244" s="152">
        <f>VLOOKUP(B244,Dosen!$B$10:$AA$312,6,0)</f>
        <v>34384</v>
      </c>
      <c r="G244" s="153" t="str">
        <f t="shared" si="17"/>
        <v>1994</v>
      </c>
      <c r="H244" s="50" t="str">
        <f t="shared" ca="1" si="18"/>
        <v>30 Tahun, 7 Bulan, 19 Hari</v>
      </c>
      <c r="I244" s="18">
        <f t="shared" si="19"/>
        <v>2059</v>
      </c>
    </row>
    <row r="245" spans="1:9" x14ac:dyDescent="0.35">
      <c r="A245" s="18">
        <v>116</v>
      </c>
      <c r="B245" s="15" t="str">
        <f>Dosen!B140</f>
        <v>Zainal Abidin, S.ST., M.P.</v>
      </c>
      <c r="C245" s="155" t="str">
        <f>VLOOKUP(B245,Dosen!$B$10:$AA$312,2,0)</f>
        <v>199408032022031005</v>
      </c>
      <c r="D245" s="50" t="str">
        <f>VLOOKUP(B245,Dosen!$B$10:$AA$312,10,0)</f>
        <v>Dosen</v>
      </c>
      <c r="E245" s="12" t="str">
        <f>VLOOKUP(B245,Dosen!$B$10:$AA$312,5,0)</f>
        <v>Berau</v>
      </c>
      <c r="F245" s="152">
        <f>VLOOKUP(B245,Dosen!$B$10:$AA$312,6,0)</f>
        <v>34549</v>
      </c>
      <c r="G245" s="153" t="str">
        <f t="shared" si="17"/>
        <v>1994</v>
      </c>
      <c r="H245" s="50" t="str">
        <f t="shared" ca="1" si="18"/>
        <v>30 Tahun, 2 Bulan, 5 Hari</v>
      </c>
      <c r="I245" s="18">
        <f t="shared" si="19"/>
        <v>2059</v>
      </c>
    </row>
  </sheetData>
  <sortState xmlns:xlrd2="http://schemas.microsoft.com/office/spreadsheetml/2017/richdata2" ref="B130:I245">
    <sortCondition ref="I130:I245"/>
  </sortState>
  <mergeCells count="36">
    <mergeCell ref="A1:D1"/>
    <mergeCell ref="A3:B3"/>
    <mergeCell ref="A4:B4"/>
    <mergeCell ref="A8:A9"/>
    <mergeCell ref="B8:B9"/>
    <mergeCell ref="C8:C9"/>
    <mergeCell ref="D8:D9"/>
    <mergeCell ref="H8:H9"/>
    <mergeCell ref="I8:I9"/>
    <mergeCell ref="F8:G9"/>
    <mergeCell ref="A5:B5"/>
    <mergeCell ref="E8:E9"/>
    <mergeCell ref="H61:H62"/>
    <mergeCell ref="I61:I62"/>
    <mergeCell ref="A71:A72"/>
    <mergeCell ref="B71:B72"/>
    <mergeCell ref="C71:C72"/>
    <mergeCell ref="D71:D72"/>
    <mergeCell ref="E71:E72"/>
    <mergeCell ref="F71:G72"/>
    <mergeCell ref="H71:H72"/>
    <mergeCell ref="I71:I72"/>
    <mergeCell ref="A61:A62"/>
    <mergeCell ref="B61:B62"/>
    <mergeCell ref="C61:C62"/>
    <mergeCell ref="D61:D62"/>
    <mergeCell ref="E61:E62"/>
    <mergeCell ref="F61:G62"/>
    <mergeCell ref="H127:H128"/>
    <mergeCell ref="I127:I128"/>
    <mergeCell ref="A127:A128"/>
    <mergeCell ref="B127:B128"/>
    <mergeCell ref="C127:C128"/>
    <mergeCell ref="D127:D128"/>
    <mergeCell ref="E127:E128"/>
    <mergeCell ref="F127:G128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Kalkulator</vt:lpstr>
      <vt:lpstr>Prodi &amp; Jurusan</vt:lpstr>
      <vt:lpstr>Administrasi</vt:lpstr>
      <vt:lpstr>Pustakawan</vt:lpstr>
      <vt:lpstr>Plp</vt:lpstr>
      <vt:lpstr>Dosen</vt:lpstr>
      <vt:lpstr>RANGKUMAN</vt:lpstr>
      <vt:lpstr>Honorer</vt:lpstr>
      <vt:lpstr>BUP</vt:lpstr>
      <vt:lpstr>Honorer!Print_Area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 Mulawarman</dc:creator>
  <cp:lastModifiedBy>Lenovo</cp:lastModifiedBy>
  <cp:lastPrinted>2024-09-05T02:08:47Z</cp:lastPrinted>
  <dcterms:created xsi:type="dcterms:W3CDTF">2024-02-14T23:34:55Z</dcterms:created>
  <dcterms:modified xsi:type="dcterms:W3CDTF">2024-10-08T13:34:26Z</dcterms:modified>
</cp:coreProperties>
</file>